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sting" sheetId="1" state="visible" r:id="rId1"/>
    <sheet name="Rates" sheetId="2" state="visible" r:id="rId2"/>
    <sheet name="Trims" sheetId="3" state="visible" r:id="rId3"/>
    <sheet name="Scenarios" sheetId="4" state="visible" r:id="rId4"/>
    <sheet name="Duty" sheetId="5" state="visible" r:id="rId5"/>
  </sheets>
  <definedNames>
    <definedName name="_xlnm.Print_Area" localSheetId="0">'Costing'!$A$1:$F$21</definedName>
    <definedName name="_xlnm.Print_Area" localSheetId="1">'Rates'!$A$1:$C$7</definedName>
    <definedName name="_xlnm.Print_Area" localSheetId="2">'Trims'!$A$1:$E$10</definedName>
    <definedName name="_xlnm.Print_Area" localSheetId="3">'Scenarios'!$A$1:$D$13</definedName>
    <definedName name="_xlnm.Print_Area" localSheetId="4">'Duty'!$A$1:$C$5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€#,##0.00"/>
    <numFmt numFmtId="165" formatCode="0.0%"/>
    <numFmt numFmtId="166" formatCode="#,##0.000"/>
    <numFmt numFmtId="167" formatCode="#,##0.0&quot;×&quot;"/>
    <numFmt numFmtId="168" formatCode="#,##0.0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2A2622"/>
      <sz val="10"/>
    </font>
    <font>
      <name val="Calibri"/>
      <color rgb="000000FF"/>
      <sz val="10"/>
    </font>
    <font>
      <name val="Calibri"/>
      <i val="1"/>
      <color rgb="006B655C"/>
      <sz val="9"/>
    </font>
    <font>
      <name val="Calibri"/>
      <color rgb="00000000"/>
      <sz val="10"/>
    </font>
    <font>
      <name val="Calibri"/>
      <b val="1"/>
      <color rgb="002A2622"/>
      <sz val="10"/>
    </font>
    <font>
      <name val="Calibri"/>
      <b val="1"/>
      <color rgb="00000000"/>
    </font>
    <font>
      <name val="Calibri"/>
      <i val="1"/>
      <color rgb="008A857C"/>
      <sz val="8"/>
    </font>
    <font>
      <name val="Calibri"/>
      <b val="1"/>
      <color rgb="00000000"/>
      <sz val="10"/>
    </font>
    <font>
      <name val="Calibri"/>
      <color rgb="00008000"/>
      <sz val="10"/>
    </font>
    <font>
      <name val="Calibri"/>
      <b val="1"/>
      <color rgb="000000FF"/>
      <sz val="11"/>
    </font>
    <font>
      <name val="Calibri"/>
      <b val="1"/>
      <color rgb="00008000"/>
      <sz val="10"/>
    </font>
  </fonts>
  <fills count="10">
    <fill>
      <patternFill/>
    </fill>
    <fill>
      <patternFill patternType="gray125"/>
    </fill>
    <fill>
      <patternFill patternType="solid">
        <fgColor rgb="00B08D57"/>
      </patternFill>
    </fill>
    <fill>
      <patternFill patternType="solid">
        <fgColor rgb="00EAF1F4"/>
      </patternFill>
    </fill>
    <fill>
      <patternFill patternType="solid">
        <fgColor rgb="006B7A6E"/>
      </patternFill>
    </fill>
    <fill>
      <patternFill patternType="solid">
        <fgColor rgb="00F4F1EA"/>
      </patternFill>
    </fill>
    <fill>
      <patternFill patternType="solid">
        <fgColor rgb="009A958C"/>
      </patternFill>
    </fill>
    <fill>
      <patternFill patternType="solid">
        <fgColor rgb="0026403B"/>
      </patternFill>
    </fill>
    <fill>
      <patternFill patternType="solid">
        <fgColor rgb="00E6EDEA"/>
      </patternFill>
    </fill>
    <fill>
      <patternFill patternType="solid">
        <fgColor rgb="003E4A59"/>
      </patternFill>
    </fill>
  </fills>
  <borders count="2">
    <border>
      <left/>
      <right/>
      <top/>
      <bottom/>
      <diagonal/>
    </border>
    <border>
      <left style="thin">
        <color rgb="00C9C3B6"/>
      </left>
      <right style="thin">
        <color rgb="00C9C3B6"/>
      </right>
      <top style="thin">
        <color rgb="00C9C3B6"/>
      </top>
      <bottom style="thin">
        <color rgb="00C9C3B6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7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168" fontId="3" fillId="3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4" fontId="5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164" fontId="9" fillId="5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 wrapText="1"/>
    </xf>
    <xf numFmtId="0" fontId="0" fillId="0" borderId="1" pivotButton="0" quotePrefix="0" xfId="0"/>
    <xf numFmtId="164" fontId="10" fillId="0" borderId="1" applyAlignment="1" pivotButton="0" quotePrefix="0" xfId="0">
      <alignment horizontal="right" vertical="center"/>
    </xf>
    <xf numFmtId="3" fontId="3" fillId="3" borderId="1" applyAlignment="1" pivotButton="0" quotePrefix="0" xfId="0">
      <alignment horizontal="right" vertical="center"/>
    </xf>
    <xf numFmtId="0" fontId="6" fillId="8" borderId="1" applyAlignment="1" pivotButton="0" quotePrefix="0" xfId="0">
      <alignment horizontal="left" vertical="center" wrapText="1"/>
    </xf>
    <xf numFmtId="0" fontId="0" fillId="8" borderId="1" pivotButton="0" quotePrefix="0" xfId="0"/>
    <xf numFmtId="164" fontId="9" fillId="8" borderId="1" applyAlignment="1" pivotButton="0" quotePrefix="0" xfId="0">
      <alignment horizontal="right" vertical="center"/>
    </xf>
    <xf numFmtId="0" fontId="4" fillId="8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165" fontId="9" fillId="0" borderId="1" applyAlignment="1" pivotButton="0" quotePrefix="0" xfId="0">
      <alignment horizontal="right" vertical="center"/>
    </xf>
    <xf numFmtId="0" fontId="9" fillId="0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right" vertical="center"/>
    </xf>
    <xf numFmtId="167" fontId="3" fillId="3" borderId="1" applyAlignment="1" pivotButton="0" quotePrefix="0" xfId="0">
      <alignment horizontal="right" vertical="center"/>
    </xf>
    <xf numFmtId="0" fontId="1" fillId="4" borderId="1" applyAlignment="1" pivotButton="0" quotePrefix="0" xfId="0">
      <alignment horizontal="center" vertical="center" wrapText="1"/>
    </xf>
    <xf numFmtId="164" fontId="7" fillId="5" borderId="1" applyAlignment="1" pivotButton="0" quotePrefix="0" xfId="0">
      <alignment horizontal="right" vertical="center"/>
    </xf>
    <xf numFmtId="0" fontId="1" fillId="9" borderId="1" applyAlignment="1" pivotButton="0" quotePrefix="0" xfId="0">
      <alignment horizontal="left" vertical="center" wrapText="1"/>
    </xf>
    <xf numFmtId="0" fontId="1" fillId="9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right" vertical="center"/>
    </xf>
    <xf numFmtId="0" fontId="11" fillId="3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12" fillId="5" borderId="1" applyAlignment="1" pivotButton="0" quotePrefix="0" xfId="0">
      <alignment horizontal="right" vertical="center"/>
    </xf>
    <xf numFmtId="165" fontId="12" fillId="0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wrapText="1"/>
    </xf>
    <xf numFmtId="0" fontId="1" fillId="6" borderId="1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2F5E45"/>
      </font>
      <fill>
        <patternFill patternType="solid">
          <fgColor rgb="00D9E7DE"/>
        </patternFill>
      </fill>
    </dxf>
    <dxf>
      <font>
        <b val="1"/>
        <color rgb="008A2E22"/>
      </font>
      <fill>
        <patternFill patternType="solid">
          <fgColor rgb="00F0D9D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comments/comment1.xml><?xml version="1.0" encoding="utf-8"?>
<comments xmlns="http://schemas.openxmlformats.org/spreadsheetml/2006/main">
  <authors>
    <author>Belmont Row</author>
  </authors>
  <commentList>
    <comment ref="B10" authorId="0" shapeId="0">
      <text>
        <t>Standard allowed minutes for the Marlow trench (industrial-engineering study)</t>
      </text>
    </comment>
    <comment ref="E15" authorId="0" shapeId="0">
      <text>
        <t>Duty lookup key — must match an Origin on the Duty tab (Porto / Izmir)</t>
      </text>
    </comment>
    <comment ref="E19" authorId="0" shapeId="0">
      <text>
        <t>Rounding rule: =ROUND(wholesale × 2.6, -1) — keystone markup, then rounded to the nearest €10 for a clean shelf price.</t>
      </text>
    </comment>
  </commentList>
</comments>
</file>

<file path=xl/comments/comment2.xml><?xml version="1.0" encoding="utf-8"?>
<comments xmlns="http://schemas.openxmlformats.org/spreadsheetml/2006/main">
  <authors>
    <author>Belmont Row</author>
  </authors>
  <commentList>
    <comment ref="B2" authorId="0" shapeId="0">
      <text>
        <t>Origin: Porto atelier — 2026 labour standard incl. on-costs</t>
      </text>
    </comment>
    <comment ref="B3" authorId="0" shapeId="0">
      <text>
        <t>Origin: Factory burden loading applied to prime cost</t>
      </text>
    </comment>
    <comment ref="B4" authorId="0" shapeId="0">
      <text>
        <t>Origin: Merchandising initial-markup floor for outerwear</t>
      </text>
    </comment>
    <comment ref="B5" authorId="0" shapeId="0">
      <text>
        <t>Origin: IMU used to price wholesale — landed ÷ (1 − IMU)</t>
      </text>
    </comment>
    <comment ref="B6" authorId="0" shapeId="0">
      <text>
        <t>Origin: Treasury planning rate, Q1 2026</t>
      </text>
    </comment>
    <comment ref="B7" authorId="0" shapeId="0">
      <text>
        <t>Origin: Wholesale→RRP keystone for the trench category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sheet1.xml><?xml version="1.0" encoding="utf-8"?>
<worksheet xmlns="http://schemas.openxmlformats.org/spreadsheetml/2006/main">
  <sheetPr>
    <tabColor rgb="0026403B"/>
    <outlinePr summaryBelow="1" summaryRight="1"/>
    <pageSetUpPr fitToPage="1"/>
  </sheetPr>
  <dimension ref="A1:F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9" customWidth="1" min="2" max="2"/>
    <col width="10" customWidth="1" min="3" max="3"/>
    <col width="10" customWidth="1" min="4" max="4"/>
    <col width="14" customWidth="1" min="5" max="5"/>
    <col width="36" customWidth="1" min="6" max="6"/>
  </cols>
  <sheetData>
    <row r="1" ht="26" customHeight="1">
      <c r="A1" s="1" t="inlineStr">
        <is>
          <t>Cost line</t>
        </is>
      </c>
      <c r="B1" s="1" t="inlineStr">
        <is>
          <t>Qty</t>
        </is>
      </c>
      <c r="C1" s="1" t="inlineStr">
        <is>
          <t>Rate (€)</t>
        </is>
      </c>
      <c r="D1" s="1" t="inlineStr">
        <is>
          <t>Waste %</t>
        </is>
      </c>
      <c r="E1" s="1" t="inlineStr">
        <is>
          <t>Extended (€)</t>
        </is>
      </c>
      <c r="F1" s="1" t="inlineStr">
        <is>
          <t>Basis / note</t>
        </is>
      </c>
    </row>
    <row r="2">
      <c r="A2" s="2" t="inlineStr">
        <is>
          <t>Shell — cotton gabardine</t>
        </is>
      </c>
      <c r="B2" s="3" t="n">
        <v>3</v>
      </c>
      <c r="C2" s="4" t="n">
        <v>7.2</v>
      </c>
      <c r="D2" s="5" t="n">
        <v>0.08</v>
      </c>
      <c r="E2" s="6">
        <f>B2*C2*(1+D2)</f>
        <v/>
      </c>
      <c r="F2" s="7" t="inlineStr">
        <is>
          <t>10.5oz water-repellent, per metre</t>
        </is>
      </c>
    </row>
    <row r="3">
      <c r="A3" s="2" t="inlineStr">
        <is>
          <t>Lining — viscose twill</t>
        </is>
      </c>
      <c r="B3" s="3" t="n">
        <v>2.2</v>
      </c>
      <c r="C3" s="4" t="n">
        <v>3.8</v>
      </c>
      <c r="D3" s="5" t="n">
        <v>0.06</v>
      </c>
      <c r="E3" s="6">
        <f>B3*C3*(1+D3)</f>
        <v/>
      </c>
      <c r="F3" s="7" t="inlineStr">
        <is>
          <t>Body &amp; sleeve lining, per metre</t>
        </is>
      </c>
    </row>
    <row r="4">
      <c r="A4" s="2" t="inlineStr">
        <is>
          <t>Interlining — fusible</t>
        </is>
      </c>
      <c r="B4" s="3" t="n">
        <v>1.5</v>
      </c>
      <c r="C4" s="4" t="n">
        <v>1.9</v>
      </c>
      <c r="D4" s="5" t="n">
        <v>0.05</v>
      </c>
      <c r="E4" s="6">
        <f>B4*C4*(1+D4)</f>
        <v/>
      </c>
      <c r="F4" s="7" t="inlineStr">
        <is>
          <t>Front &amp; facings, per metre</t>
        </is>
      </c>
    </row>
    <row r="5">
      <c r="A5" s="2" t="inlineStr">
        <is>
          <t>Chest canvas</t>
        </is>
      </c>
      <c r="B5" s="3" t="n">
        <v>0.5</v>
      </c>
      <c r="C5" s="4" t="n">
        <v>5.4</v>
      </c>
      <c r="D5" s="5" t="n">
        <v>0.04</v>
      </c>
      <c r="E5" s="6">
        <f>B5*C5*(1+D5)</f>
        <v/>
      </c>
      <c r="F5" s="7" t="inlineStr">
        <is>
          <t>Hair canvas, per metre</t>
        </is>
      </c>
    </row>
    <row r="6">
      <c r="A6" s="2" t="inlineStr">
        <is>
          <t>Horn buttons</t>
        </is>
      </c>
      <c r="B6" s="3" t="n">
        <v>12</v>
      </c>
      <c r="C6" s="4" t="n">
        <v>0.45</v>
      </c>
      <c r="D6" s="5" t="n">
        <v>0.03</v>
      </c>
      <c r="E6" s="6">
        <f>B6*C6*(1+D6)</f>
        <v/>
      </c>
      <c r="F6" s="7" t="inlineStr">
        <is>
          <t>Front, cuff, storm-flap (pcs)</t>
        </is>
      </c>
    </row>
    <row r="7">
      <c r="A7" s="2" t="inlineStr">
        <is>
          <t>Thread &amp; sundry</t>
        </is>
      </c>
      <c r="B7" s="3" t="n">
        <v>1</v>
      </c>
      <c r="C7" s="4" t="n">
        <v>3.2</v>
      </c>
      <c r="D7" s="5" t="n">
        <v>0.02</v>
      </c>
      <c r="E7" s="6">
        <f>B7*C7*(1+D7)</f>
        <v/>
      </c>
      <c r="F7" s="7" t="inlineStr">
        <is>
          <t>Bobbin, tacking, sundry</t>
        </is>
      </c>
    </row>
    <row r="8">
      <c r="A8" s="8" t="inlineStr">
        <is>
          <t>Materials subtotal</t>
        </is>
      </c>
      <c r="B8" s="9" t="n"/>
      <c r="C8" s="9" t="n"/>
      <c r="D8" s="9" t="n"/>
      <c r="E8" s="10">
        <f>SUM(E2:E7)</f>
        <v/>
      </c>
      <c r="F8" s="11" t="inlineStr">
        <is>
          <t>Six material lines</t>
        </is>
      </c>
    </row>
    <row r="9">
      <c r="A9" s="2" t="inlineStr">
        <is>
          <t>Trims subtotal</t>
        </is>
      </c>
      <c r="B9" s="12" t="n"/>
      <c r="C9" s="12" t="n"/>
      <c r="D9" s="12" t="n"/>
      <c r="E9" s="13">
        <f>SUM(Trims!E2:E9)</f>
        <v/>
      </c>
      <c r="F9" s="7" t="inlineStr">
        <is>
          <t>→ Trims tab (cross-sheet)</t>
        </is>
      </c>
    </row>
    <row r="10">
      <c r="A10" s="2" t="inlineStr">
        <is>
          <t>CMT (cut-make-trim)</t>
        </is>
      </c>
      <c r="B10" s="14" t="n">
        <v>68</v>
      </c>
      <c r="C10" s="7" t="inlineStr">
        <is>
          <t>min</t>
        </is>
      </c>
      <c r="D10" s="12" t="n"/>
      <c r="E10" s="13">
        <f>B10*Rates!$B$2</f>
        <v/>
      </c>
      <c r="F10" s="7" t="inlineStr">
        <is>
          <t>68 min × minute rate (Rates!B2)</t>
        </is>
      </c>
    </row>
    <row r="11">
      <c r="A11" s="8" t="inlineStr">
        <is>
          <t>Prime cost</t>
        </is>
      </c>
      <c r="B11" s="9" t="n"/>
      <c r="C11" s="9" t="n"/>
      <c r="D11" s="9" t="n"/>
      <c r="E11" s="10">
        <f>E8+E9+E10</f>
        <v/>
      </c>
      <c r="F11" s="11" t="inlineStr">
        <is>
          <t>Materials + trims + CMT</t>
        </is>
      </c>
    </row>
    <row r="12">
      <c r="A12" s="2" t="inlineStr">
        <is>
          <t>Overhead</t>
        </is>
      </c>
      <c r="B12" s="12" t="n"/>
      <c r="C12" s="12" t="n"/>
      <c r="D12" s="12" t="n"/>
      <c r="E12" s="13">
        <f>Rates!$B$3*E11</f>
        <v/>
      </c>
      <c r="F12" s="7" t="inlineStr">
        <is>
          <t>6% of prime (Rates!B3)</t>
        </is>
      </c>
    </row>
    <row r="13">
      <c r="A13" s="15" t="inlineStr">
        <is>
          <t>FOB (ex-works)</t>
        </is>
      </c>
      <c r="B13" s="16" t="n"/>
      <c r="C13" s="16" t="n"/>
      <c r="D13" s="16" t="n"/>
      <c r="E13" s="17">
        <f>E8+E9+E10+E12</f>
        <v/>
      </c>
      <c r="F13" s="18" t="inlineStr">
        <is>
          <t>Materials + trims + CMT + overhead ≈ €92</t>
        </is>
      </c>
    </row>
    <row r="14">
      <c r="A14" s="2" t="inlineStr">
        <is>
          <t>Freight (per unit)</t>
        </is>
      </c>
      <c r="B14" s="12" t="n"/>
      <c r="C14" s="12" t="n"/>
      <c r="D14" s="12" t="n"/>
      <c r="E14" s="4" t="n">
        <v>2.1</v>
      </c>
      <c r="F14" s="7" t="inlineStr">
        <is>
          <t>Consolidated LCL, Porto → DC</t>
        </is>
      </c>
    </row>
    <row r="15">
      <c r="A15" s="2" t="inlineStr">
        <is>
          <t>Origin (production)</t>
        </is>
      </c>
      <c r="B15" s="12" t="n"/>
      <c r="C15" s="12" t="n"/>
      <c r="D15" s="12" t="n"/>
      <c r="E15" s="19" t="inlineStr">
        <is>
          <t>Porto</t>
        </is>
      </c>
      <c r="F15" s="7" t="inlineStr">
        <is>
          <t>VLOOKUP key into Duty tab</t>
        </is>
      </c>
    </row>
    <row r="16">
      <c r="A16" s="2" t="inlineStr">
        <is>
          <t>Import duty</t>
        </is>
      </c>
      <c r="B16" s="12" t="n"/>
      <c r="C16" s="12" t="n"/>
      <c r="D16" s="12" t="n"/>
      <c r="E16" s="13">
        <f>E13*VLOOKUP($E$15,Duty!$A:$B,2,0)</f>
        <v/>
      </c>
      <c r="F16" s="7" t="inlineStr">
        <is>
          <t>FOB × duty rate (by origin)</t>
        </is>
      </c>
    </row>
    <row r="17">
      <c r="A17" s="15" t="inlineStr">
        <is>
          <t>LANDED cost</t>
        </is>
      </c>
      <c r="B17" s="16" t="n"/>
      <c r="C17" s="16" t="n"/>
      <c r="D17" s="16" t="n"/>
      <c r="E17" s="17">
        <f>E13+E14+E16</f>
        <v/>
      </c>
      <c r="F17" s="18" t="inlineStr">
        <is>
          <t>FOB + freight + duty</t>
        </is>
      </c>
    </row>
    <row r="18">
      <c r="A18" s="2" t="inlineStr">
        <is>
          <t>Wholesale (IMU)</t>
        </is>
      </c>
      <c r="B18" s="12" t="n"/>
      <c r="C18" s="12" t="n"/>
      <c r="D18" s="12" t="n"/>
      <c r="E18" s="13">
        <f>E17/(1-Rates!$B$5)</f>
        <v/>
      </c>
      <c r="F18" s="7" t="inlineStr">
        <is>
          <t>Landed ÷ (1 − wholesale IMU, Rates!B5)</t>
        </is>
      </c>
    </row>
    <row r="19">
      <c r="A19" s="2" t="inlineStr">
        <is>
          <t>RRP</t>
        </is>
      </c>
      <c r="B19" s="12" t="n"/>
      <c r="C19" s="12" t="n"/>
      <c r="D19" s="12" t="n"/>
      <c r="E19" s="13">
        <f>ROUND(E18*Rates!$B$7,-1)</f>
        <v/>
      </c>
      <c r="F19" s="7" t="inlineStr">
        <is>
          <t>Wholesale × retail multiplier, rounded</t>
        </is>
      </c>
    </row>
    <row r="20">
      <c r="A20" s="20" t="inlineStr">
        <is>
          <t>Gross margin %</t>
        </is>
      </c>
      <c r="B20" s="12" t="n"/>
      <c r="C20" s="12" t="n"/>
      <c r="D20" s="12" t="n"/>
      <c r="E20" s="21">
        <f>(E18-E17)/E18</f>
        <v/>
      </c>
      <c r="F20" s="7" t="inlineStr">
        <is>
          <t>(Wholesale − landed) ÷ wholesale · flag at 58%</t>
        </is>
      </c>
    </row>
    <row r="21">
      <c r="A21" s="20" t="inlineStr">
        <is>
          <t>Independent landed check</t>
        </is>
      </c>
      <c r="B21" s="12" t="n"/>
      <c r="C21" s="12" t="n"/>
      <c r="D21" s="12" t="n"/>
      <c r="E21" s="22">
        <f>IF(ROUND(E17-(E13+E14+E16),2)=0,"OK","MISMATCH")</f>
        <v/>
      </c>
      <c r="F21" s="7" t="inlineStr">
        <is>
          <t>Re-derives landed a second way</t>
        </is>
      </c>
    </row>
  </sheetData>
  <conditionalFormatting sqref="E20">
    <cfRule type="cellIs" priority="1" operator="greaterThanOrEqual" dxfId="0">
      <formula>0.58</formula>
    </cfRule>
    <cfRule type="cellIs" priority="2" operator="lessThan" dxfId="1">
      <formula>0.58</formula>
    </cfRule>
    <cfRule type="dataBar" priority="3">
      <dataBar>
        <cfvo type="num" val="0"/>
        <cfvo type="num" val="1"/>
        <color rgb="00B08D57"/>
      </dataBar>
    </cfRule>
  </conditionalFormatting>
  <pageMargins left="0.35" right="0.35" top="0.7" bottom="0.5" header="0.3" footer="0.5"/>
  <pageSetup orientation="landscape" fitToHeight="1" fitToWidth="1"/>
  <headerFooter>
    <oddHeader>&amp;L&amp;"Calibri,Bold"&amp;11 Belmont Row&amp;C&amp;9 Landed Cost &amp; Margin Model  ·  blue = input · black = formula · green = cross-sheet&amp;R&amp;8 The Marlow Trench · illustrative</oddHeader>
    <oddFooter>&amp;R&amp;8 Made with McLeuker AI</oddFooter>
    <evenHeader/>
    <evenFooter/>
    <firstHeader/>
    <firstFooter/>
  </headerFooter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B08D57"/>
    <outlinePr summaryBelow="1" summaryRight="1"/>
    <pageSetUpPr fitToPage="1"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56" customWidth="1" min="3" max="3"/>
  </cols>
  <sheetData>
    <row r="1" ht="26" customHeight="1">
      <c r="A1" s="23" t="inlineStr">
        <is>
          <t>Parameter</t>
        </is>
      </c>
      <c r="B1" s="23" t="inlineStr">
        <is>
          <t>Value</t>
        </is>
      </c>
      <c r="C1" s="23" t="inlineStr">
        <is>
          <t>Source / note</t>
        </is>
      </c>
    </row>
    <row r="2" ht="18" customHeight="1">
      <c r="A2" s="2" t="inlineStr">
        <is>
          <t>Minute rate (€/min)</t>
        </is>
      </c>
      <c r="B2" s="4" t="n">
        <v>0.45</v>
      </c>
      <c r="C2" s="7" t="inlineStr">
        <is>
          <t>Porto atelier — 2026 labour standard incl. on-costs</t>
        </is>
      </c>
    </row>
    <row r="3" ht="18" customHeight="1">
      <c r="A3" s="2" t="inlineStr">
        <is>
          <t>Overhead (% of prime)</t>
        </is>
      </c>
      <c r="B3" s="5" t="n">
        <v>0.06</v>
      </c>
      <c r="C3" s="7" t="inlineStr">
        <is>
          <t>Factory burden loading applied to prime cost</t>
        </is>
      </c>
    </row>
    <row r="4" ht="18" customHeight="1">
      <c r="A4" s="2" t="inlineStr">
        <is>
          <t>IMU target (%)</t>
        </is>
      </c>
      <c r="B4" s="5" t="n">
        <v>0.6</v>
      </c>
      <c r="C4" s="7" t="inlineStr">
        <is>
          <t>Merchandising initial-markup floor for outerwear</t>
        </is>
      </c>
    </row>
    <row r="5" ht="18" customHeight="1">
      <c r="A5" s="2" t="inlineStr">
        <is>
          <t>Wholesale IMU (%)</t>
        </is>
      </c>
      <c r="B5" s="5" t="n">
        <v>0.62</v>
      </c>
      <c r="C5" s="7" t="inlineStr">
        <is>
          <t>IMU used to price wholesale — landed ÷ (1 − IMU)</t>
        </is>
      </c>
    </row>
    <row r="6" ht="18" customHeight="1">
      <c r="A6" s="2" t="inlineStr">
        <is>
          <t>FX (EUR→USD)</t>
        </is>
      </c>
      <c r="B6" s="24" t="n">
        <v>1.08</v>
      </c>
      <c r="C6" s="7" t="inlineStr">
        <is>
          <t>Treasury planning rate, Q1 2026</t>
        </is>
      </c>
    </row>
    <row r="7" ht="18" customHeight="1">
      <c r="A7" s="2" t="inlineStr">
        <is>
          <t>Retail multiplier (×)</t>
        </is>
      </c>
      <c r="B7" s="25" t="n">
        <v>2.6</v>
      </c>
      <c r="C7" s="7" t="inlineStr">
        <is>
          <t>Wholesale→RRP keystone for the trench category</t>
        </is>
      </c>
    </row>
  </sheetData>
  <pageMargins left="0.35" right="0.35" top="0.7" bottom="0.5" header="0.3" footer="0.5"/>
  <pageSetup orientation="landscape" fitToHeight="1" fitToWidth="1"/>
  <headerFooter>
    <oddHeader>&amp;L&amp;"Calibri,Bold"&amp;11 Belmont Row&amp;C&amp;9 Rate Card &amp; Assumptions&amp;R&amp;8 The Marlow Trench · illustrative</oddHeader>
    <oddFooter>&amp;R&amp;8 Made with McLeuker AI</oddFooter>
    <evenHeader/>
    <evenFooter/>
    <firstHeader/>
    <firstFooter/>
  </headerFooter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6B7A6E"/>
    <outlinePr summaryBelow="1" summaryRight="1"/>
    <pageSetUpPr fitToPage="1"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8" customWidth="1" min="3" max="3"/>
    <col width="15" customWidth="1" min="4" max="4"/>
    <col width="15" customWidth="1" min="5" max="5"/>
  </cols>
  <sheetData>
    <row r="1" ht="26" customHeight="1">
      <c r="A1" s="26" t="inlineStr">
        <is>
          <t>Trim item</t>
        </is>
      </c>
      <c r="B1" s="26" t="inlineStr">
        <is>
          <t>Spec</t>
        </is>
      </c>
      <c r="C1" s="26" t="inlineStr">
        <is>
          <t>Qty</t>
        </is>
      </c>
      <c r="D1" s="26" t="inlineStr">
        <is>
          <t>Unit price (€)</t>
        </is>
      </c>
      <c r="E1" s="26" t="inlineStr">
        <is>
          <t>Extended (€)</t>
        </is>
      </c>
    </row>
    <row r="2" ht="17" customHeight="1">
      <c r="A2" s="2" t="inlineStr">
        <is>
          <t>Belt buckle</t>
        </is>
      </c>
      <c r="B2" s="2" t="inlineStr">
        <is>
          <t>Roller, antique brass</t>
        </is>
      </c>
      <c r="C2" s="14" t="n">
        <v>1</v>
      </c>
      <c r="D2" s="4" t="n">
        <v>2.4</v>
      </c>
      <c r="E2" s="6">
        <f>C2*D2</f>
        <v/>
      </c>
    </row>
    <row r="3" ht="17" customHeight="1">
      <c r="A3" s="2" t="inlineStr">
        <is>
          <t>D-rings</t>
        </is>
      </c>
      <c r="B3" s="2" t="inlineStr">
        <is>
          <t>Belt &amp; epaulette</t>
        </is>
      </c>
      <c r="C3" s="14" t="n">
        <v>4</v>
      </c>
      <c r="D3" s="4" t="n">
        <v>0.38</v>
      </c>
      <c r="E3" s="6">
        <f>C3*D3</f>
        <v/>
      </c>
    </row>
    <row r="4" ht="17" customHeight="1">
      <c r="A4" s="2" t="inlineStr">
        <is>
          <t>Belt loops</t>
        </is>
      </c>
      <c r="B4" s="2" t="inlineStr">
        <is>
          <t>Self-fabric</t>
        </is>
      </c>
      <c r="C4" s="14" t="n">
        <v>6</v>
      </c>
      <c r="D4" s="4" t="n">
        <v>0.14</v>
      </c>
      <c r="E4" s="6">
        <f>C4*D4</f>
        <v/>
      </c>
    </row>
    <row r="5" ht="17" customHeight="1">
      <c r="A5" s="2" t="inlineStr">
        <is>
          <t>Storm-flap snaps</t>
        </is>
      </c>
      <c r="B5" s="2" t="inlineStr">
        <is>
          <t>Prong, matte</t>
        </is>
      </c>
      <c r="C5" s="14" t="n">
        <v>4</v>
      </c>
      <c r="D5" s="4" t="n">
        <v>0.3</v>
      </c>
      <c r="E5" s="6">
        <f>C5*D5</f>
        <v/>
      </c>
    </row>
    <row r="6" ht="17" customHeight="1">
      <c r="A6" s="2" t="inlineStr">
        <is>
          <t>Woven brand label</t>
        </is>
      </c>
      <c r="B6" s="2" t="inlineStr">
        <is>
          <t>Selvedge, damask</t>
        </is>
      </c>
      <c r="C6" s="14" t="n">
        <v>1</v>
      </c>
      <c r="D6" s="4" t="n">
        <v>0.55</v>
      </c>
      <c r="E6" s="6">
        <f>C6*D6</f>
        <v/>
      </c>
    </row>
    <row r="7" ht="17" customHeight="1">
      <c r="A7" s="2" t="inlineStr">
        <is>
          <t>Care + size labels</t>
        </is>
      </c>
      <c r="B7" s="2" t="inlineStr">
        <is>
          <t>Printed satin set</t>
        </is>
      </c>
      <c r="C7" s="14" t="n">
        <v>1</v>
      </c>
      <c r="D7" s="4" t="n">
        <v>0.65</v>
      </c>
      <c r="E7" s="6">
        <f>C7*D7</f>
        <v/>
      </c>
    </row>
    <row r="8" ht="17" customHeight="1">
      <c r="A8" s="2" t="inlineStr">
        <is>
          <t>Inner-pocket zip</t>
        </is>
      </c>
      <c r="B8" s="2" t="inlineStr">
        <is>
          <t>YKK 12cm, gunmetal</t>
        </is>
      </c>
      <c r="C8" s="14" t="n">
        <v>1</v>
      </c>
      <c r="D8" s="4" t="n">
        <v>1.1</v>
      </c>
      <c r="E8" s="6">
        <f>C8*D8</f>
        <v/>
      </c>
    </row>
    <row r="9" ht="17" customHeight="1">
      <c r="A9" s="2" t="inlineStr">
        <is>
          <t>Gun-flap strap</t>
        </is>
      </c>
      <c r="B9" s="2" t="inlineStr">
        <is>
          <t>Buckled, leather-look</t>
        </is>
      </c>
      <c r="C9" s="14" t="n">
        <v>2</v>
      </c>
      <c r="D9" s="4" t="n">
        <v>0.52</v>
      </c>
      <c r="E9" s="6">
        <f>C9*D9</f>
        <v/>
      </c>
    </row>
    <row r="10">
      <c r="A10" s="8" t="inlineStr">
        <is>
          <t>Trims total</t>
        </is>
      </c>
      <c r="B10" s="9" t="n"/>
      <c r="C10" s="9" t="n"/>
      <c r="D10" s="9" t="n"/>
      <c r="E10" s="27">
        <f>SUM(E2:E9)</f>
        <v/>
      </c>
    </row>
  </sheetData>
  <pageMargins left="0.35" right="0.35" top="0.7" bottom="0.5" header="0.3" footer="0.5"/>
  <pageSetup orientation="landscape" fitToHeight="1" fitToWidth="1"/>
  <headerFooter>
    <oddHeader>&amp;L&amp;"Calibri,Bold"&amp;11 Belmont Row&amp;C&amp;9 Trims &amp; Findings — bill of trims&amp;R&amp;8 The Marlow Trench · illustrative</oddHeader>
    <oddFooter>&amp;R&amp;8 Made with McLeuker AI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tabColor rgb="003E4A59"/>
    <outlinePr summaryBelow="1" summaryRight="1"/>
    <pageSetUpPr fitToPage="1"/>
  </sheetPr>
  <dimension ref="A1:D13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8" customWidth="1" min="3" max="3"/>
    <col width="14" customWidth="1" min="4" max="4"/>
  </cols>
  <sheetData>
    <row r="1" ht="26" customHeight="1">
      <c r="A1" s="28" t="inlineStr">
        <is>
          <t>Sourcing scenario switch</t>
        </is>
      </c>
      <c r="B1" s="29" t="inlineStr"/>
      <c r="C1" s="29" t="inlineStr"/>
      <c r="D1" s="29" t="inlineStr"/>
    </row>
    <row r="3">
      <c r="A3" s="30" t="inlineStr">
        <is>
          <t>Selected origin →</t>
        </is>
      </c>
      <c r="B3" s="31" t="inlineStr">
        <is>
          <t>Porto</t>
        </is>
      </c>
      <c r="C3" s="32" t="inlineStr">
        <is>
          <t>◄ dropdown (data validation)</t>
        </is>
      </c>
    </row>
    <row r="5" ht="24" customHeight="1">
      <c r="A5" s="29" t="inlineStr">
        <is>
          <t>Metric</t>
        </is>
      </c>
      <c r="B5" s="29" t="inlineStr">
        <is>
          <t>Porto (EU)</t>
        </is>
      </c>
      <c r="C5" s="29" t="inlineStr">
        <is>
          <t>Izmir (3rd-country)</t>
        </is>
      </c>
      <c r="D5" s="29" t="inlineStr">
        <is>
          <t>Selected</t>
        </is>
      </c>
    </row>
    <row r="6">
      <c r="A6" s="2" t="inlineStr">
        <is>
          <t>FOB (€)</t>
        </is>
      </c>
      <c r="B6" s="13">
        <f>Costing!$E$13</f>
        <v/>
      </c>
      <c r="C6" s="13">
        <f>Costing!$E$13</f>
        <v/>
      </c>
      <c r="D6" s="6">
        <f>Costing!$E$13</f>
        <v/>
      </c>
    </row>
    <row r="7">
      <c r="A7" s="2" t="inlineStr">
        <is>
          <t>Duty (€)</t>
        </is>
      </c>
      <c r="B7" s="13">
        <f>B6*VLOOKUP("Porto",Duty!$A:$B,2,0)</f>
        <v/>
      </c>
      <c r="C7" s="13">
        <f>C6*VLOOKUP("Izmir",Duty!$A:$B,2,0)</f>
        <v/>
      </c>
      <c r="D7" s="6">
        <f>D6*VLOOKUP($B$3,Duty!$A:$B,2,0)</f>
        <v/>
      </c>
    </row>
    <row r="8">
      <c r="A8" s="2" t="inlineStr">
        <is>
          <t>Freight (€)</t>
        </is>
      </c>
      <c r="B8" s="13">
        <f>Costing!$E$14</f>
        <v/>
      </c>
      <c r="C8" s="13">
        <f>Costing!$E$14</f>
        <v/>
      </c>
      <c r="D8" s="6">
        <f>Costing!$E$14</f>
        <v/>
      </c>
    </row>
    <row r="9">
      <c r="A9" s="8" t="inlineStr">
        <is>
          <t>Landed (€)</t>
        </is>
      </c>
      <c r="B9" s="33">
        <f>B6+B7+B8</f>
        <v/>
      </c>
      <c r="C9" s="33">
        <f>C6+C7+C8</f>
        <v/>
      </c>
      <c r="D9" s="10">
        <f>D6+D7+D8</f>
        <v/>
      </c>
    </row>
    <row r="10">
      <c r="A10" s="2" t="inlineStr">
        <is>
          <t>Wholesale, plan (€)</t>
        </is>
      </c>
      <c r="B10" s="13">
        <f>Costing!$E$18</f>
        <v/>
      </c>
      <c r="C10" s="13">
        <f>Costing!$E$18</f>
        <v/>
      </c>
      <c r="D10" s="6">
        <f>Costing!$E$18</f>
        <v/>
      </c>
    </row>
    <row r="11">
      <c r="A11" s="20" t="inlineStr">
        <is>
          <t>Gross margin (%)</t>
        </is>
      </c>
      <c r="B11" s="34">
        <f>(B10-B9)/B10</f>
        <v/>
      </c>
      <c r="C11" s="34">
        <f>(C10-C9)/C10</f>
        <v/>
      </c>
      <c r="D11" s="21">
        <f>(D10-D9)/D10</f>
        <v/>
      </c>
    </row>
    <row r="13">
      <c r="A13" s="35" t="inlineStr">
        <is>
          <t>Wholesale is held at the plan selling price (Costing!E18); third-country duty therefore erodes gross margin below the 58% floor — the Izmir case flags red, Porto stays green.</t>
        </is>
      </c>
    </row>
  </sheetData>
  <mergeCells count="1">
    <mergeCell ref="A13:D13"/>
  </mergeCells>
  <conditionalFormatting sqref="B11:D11">
    <cfRule type="cellIs" priority="1" operator="greaterThanOrEqual" dxfId="0">
      <formula>0.58</formula>
    </cfRule>
    <cfRule type="cellIs" priority="2" operator="lessThan" dxfId="1">
      <formula>0.58</formula>
    </cfRule>
  </conditionalFormatting>
  <dataValidations count="1">
    <dataValidation sqref="B3" showDropDown="0" showInputMessage="0" showErrorMessage="0" allowBlank="0" errorTitle="Invalid origin" error="Choose Porto or Izmir" promptTitle="Origin" prompt="Pick the production origin" type="list">
      <formula1>"Porto,Izmir"</formula1>
    </dataValidation>
  </dataValidations>
  <pageMargins left="0.35" right="0.35" top="0.7" bottom="0.5" header="0.3" footer="0.5"/>
  <pageSetup orientation="landscape" fitToHeight="1" fitToWidth="1"/>
  <headerFooter>
    <oddHeader>&amp;L&amp;"Calibri,Bold"&amp;11 Belmont Row&amp;C&amp;9 Sourcing Scenarios — Porto vs Izmir&amp;R&amp;8 The Marlow Trench · illustrative</oddHeader>
    <oddFooter>&amp;R&amp;8 Made with McLeuker AI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tabColor rgb="009A958C"/>
    <outlinePr summaryBelow="1" summaryRight="1"/>
    <pageSetUpPr fitToPage="1"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54" customWidth="1" min="3" max="3"/>
  </cols>
  <sheetData>
    <row r="1" ht="26" customHeight="1">
      <c r="A1" s="36" t="inlineStr">
        <is>
          <t>Origin</t>
        </is>
      </c>
      <c r="B1" s="36" t="inlineStr">
        <is>
          <t>Duty rate</t>
        </is>
      </c>
      <c r="C1" s="36" t="inlineStr">
        <is>
          <t>Basis / note</t>
        </is>
      </c>
    </row>
    <row r="2" ht="18" customHeight="1">
      <c r="A2" s="2" t="inlineStr">
        <is>
          <t>Porto</t>
        </is>
      </c>
      <c r="B2" s="5" t="n">
        <v>0</v>
      </c>
      <c r="C2" s="7" t="inlineStr">
        <is>
          <t>Intra-EU (Portugal) — free circulation, 0% duty</t>
        </is>
      </c>
    </row>
    <row r="3" ht="18" customHeight="1">
      <c r="A3" s="2" t="inlineStr">
        <is>
          <t>Izmir</t>
        </is>
      </c>
      <c r="B3" s="5" t="n">
        <v>0.12</v>
      </c>
      <c r="C3" s="7" t="inlineStr">
        <is>
          <t>Third-country illustrative MFN rate (Turkey), 12%</t>
        </is>
      </c>
    </row>
    <row r="5">
      <c r="A5" s="37" t="inlineStr">
        <is>
          <t>Source: illustrative rates for scenario modelling only — EU TARIC 0% intra-union; third-country MFN shown for comparison. As-of 2026. Not customs advice.</t>
        </is>
      </c>
    </row>
  </sheetData>
  <mergeCells count="1">
    <mergeCell ref="A5:C5"/>
  </mergeCells>
  <pageMargins left="0.35" right="0.35" top="0.7" bottom="0.5" header="0.3" footer="0.5"/>
  <pageSetup orientation="landscape" fitToHeight="1" fitToWidth="1"/>
  <headerFooter>
    <oddHeader>&amp;L&amp;"Calibri,Bold"&amp;11 Belmont Row&amp;C&amp;9 Import Duty Lookup&amp;R&amp;8 The Marlow Trench · illustrative</oddHeader>
    <oddFooter>&amp;R&amp;8 Made with McLeuker AI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2026-07-14T17:21:00Z</dcterms:created>
  <dcterms:modified xsi:type="dcterms:W3CDTF">2026-07-14T17:21:00Z</dcterms:modified>
</cp:coreProperties>
</file>