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umptions" sheetId="1" state="visible" r:id="rId1"/>
    <sheet name="Revenue build" sheetId="2" state="visible" r:id="rId2"/>
    <sheet name="P&amp;L" sheetId="3" state="visible" r:id="rId3"/>
    <sheet name="Headcount" sheetId="4" state="visible" r:id="rId4"/>
    <sheet name="Cash &amp; runway" sheetId="5" state="visible" r:id="rId5"/>
    <sheet name="Summary" sheetId="6" state="visible" r:id="rId6"/>
  </sheets>
  <definedNames>
    <definedName name="_xlnm.Print_Area" localSheetId="0">'Assumptions'!$A$1:$C$43</definedName>
    <definedName name="_xlnm.Print_Area" localSheetId="1">'Revenue build'!$A$1:$N$25</definedName>
    <definedName name="_xlnm.Print_Area" localSheetId="2">'P&amp;L'!$A$1:$P$28</definedName>
    <definedName name="_xlnm.Print_Area" localSheetId="3">'Headcount'!$A$1:$O$18</definedName>
    <definedName name="_xlnm.Print_Area" localSheetId="4">'Cash &amp; runway'!$A$1:$M$19</definedName>
    <definedName name="_xlnm.Print_Area" localSheetId="5">'Summary'!$A$1:$L$40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#,##0;(#,##0);&quot;–&quot;"/>
    <numFmt numFmtId="165" formatCode="0.0%;(0.0%);&quot;–&quot;"/>
    <numFmt numFmtId="166" formatCode="€#,##0"/>
    <numFmt numFmtId="167" formatCode="0.00&quot;x&quot;"/>
    <numFmt numFmtId="168" formatCode="0.0&quot; mo&quot;"/>
    <numFmt numFmtId="169" formatCode="€#,##0;(€#,##0);&quot;–&quot;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i val="1"/>
      <color rgb="00FFFFFF"/>
      <sz val="9"/>
    </font>
    <font>
      <name val="Calibri"/>
      <b val="1"/>
      <color rgb="00FFFFFF"/>
      <sz val="10"/>
    </font>
    <font>
      <name val="Calibri"/>
      <b val="1"/>
      <color rgb="0016233A"/>
      <sz val="10"/>
    </font>
    <font>
      <name val="Calibri"/>
      <color rgb="000B1220"/>
      <sz val="10"/>
    </font>
    <font>
      <name val="Calibri"/>
      <b val="1"/>
      <color rgb="000000FF"/>
      <sz val="10"/>
    </font>
    <font>
      <name val="Calibri"/>
      <i val="1"/>
      <color rgb="005B6B82"/>
      <sz val="9"/>
    </font>
    <font>
      <name val="Calibri"/>
      <b val="1"/>
      <color rgb="000B1220"/>
      <sz val="10"/>
    </font>
    <font>
      <name val="Calibri"/>
      <b val="1"/>
      <color rgb="005B6B82"/>
      <sz val="9"/>
    </font>
    <font>
      <name val="Calibri"/>
      <color rgb="005B6B82"/>
      <sz val="9"/>
    </font>
    <font>
      <name val="Calibri"/>
      <b val="1"/>
      <color rgb="0016233A"/>
      <sz val="14"/>
    </font>
    <font>
      <name val="Calibri"/>
      <b val="1"/>
      <color rgb="00FFFFFF"/>
      <sz val="9"/>
    </font>
    <font>
      <name val="Calibri"/>
      <b val="1"/>
      <color rgb="000B1220"/>
      <sz val="20"/>
    </font>
  </fonts>
  <fills count="10">
    <fill>
      <patternFill/>
    </fill>
    <fill>
      <patternFill patternType="gray125"/>
    </fill>
    <fill>
      <patternFill patternType="solid">
        <fgColor rgb="0016233A"/>
      </patternFill>
    </fill>
    <fill>
      <patternFill patternType="solid">
        <fgColor rgb="005B6B82"/>
      </patternFill>
    </fill>
    <fill>
      <patternFill patternType="solid">
        <fgColor rgb="00E7EAF0"/>
      </patternFill>
    </fill>
    <fill>
      <patternFill patternType="solid">
        <fgColor rgb="00FFFDE7"/>
      </patternFill>
    </fill>
    <fill>
      <patternFill patternType="solid">
        <fgColor rgb="00F5F6F8"/>
      </patternFill>
    </fill>
    <fill>
      <patternFill patternType="solid">
        <fgColor rgb="002E7D53"/>
      </patternFill>
    </fill>
    <fill>
      <patternFill patternType="solid">
        <fgColor rgb="00FFFFFF"/>
      </patternFill>
    </fill>
    <fill>
      <patternFill patternType="solid">
        <fgColor rgb="00C0392B"/>
      </patternFill>
    </fill>
  </fills>
  <borders count="4">
    <border>
      <left/>
      <right/>
      <top/>
      <bottom/>
      <diagonal/>
    </border>
    <border>
      <left style="thin">
        <color rgb="00C9CFDA"/>
      </left>
      <right style="thin">
        <color rgb="00C9CFDA"/>
      </right>
      <top style="thin">
        <color rgb="00C9CFDA"/>
      </top>
      <bottom style="thin">
        <color rgb="00C9CFDA"/>
      </bottom>
    </border>
    <border>
      <top style="double">
        <color rgb="0016233A"/>
      </top>
    </border>
    <border>
      <top style="thin">
        <color rgb="005B6B82"/>
      </top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indent="1"/>
    </xf>
    <xf numFmtId="0" fontId="4" fillId="4" borderId="0" applyAlignment="1" pivotButton="0" quotePrefix="0" xfId="0">
      <alignment horizontal="left" vertical="center" indent="1"/>
    </xf>
    <xf numFmtId="0" fontId="5" fillId="0" borderId="0" pivotButton="0" quotePrefix="0" xfId="0"/>
    <xf numFmtId="164" fontId="6" fillId="5" borderId="1" applyAlignment="1" pivotButton="0" quotePrefix="0" xfId="0">
      <alignment horizontal="right"/>
    </xf>
    <xf numFmtId="0" fontId="7" fillId="0" borderId="0" pivotButton="0" quotePrefix="0" xfId="0"/>
    <xf numFmtId="165" fontId="6" fillId="5" borderId="1" applyAlignment="1" pivotButton="0" quotePrefix="0" xfId="0">
      <alignment horizontal="right"/>
    </xf>
    <xf numFmtId="10" fontId="6" fillId="5" borderId="1" applyAlignment="1" pivotButton="0" quotePrefix="0" xfId="0">
      <alignment horizontal="right"/>
    </xf>
    <xf numFmtId="166" fontId="6" fillId="5" borderId="1" applyAlignment="1" pivotButton="0" quotePrefix="0" xfId="0">
      <alignment horizontal="right"/>
    </xf>
    <xf numFmtId="165" fontId="8" fillId="0" borderId="0" applyAlignment="1" pivotButton="0" quotePrefix="0" xfId="0">
      <alignment horizontal="right"/>
    </xf>
    <xf numFmtId="167" fontId="6" fillId="5" borderId="1" applyAlignment="1" pivotButton="0" quotePrefix="0" xfId="0">
      <alignment horizontal="right"/>
    </xf>
    <xf numFmtId="168" fontId="6" fillId="5" borderId="1" applyAlignment="1" pivotButton="0" quotePrefix="0" xfId="0">
      <alignment horizontal="right"/>
    </xf>
    <xf numFmtId="0" fontId="0" fillId="2" borderId="0" pivotButton="0" quotePrefix="0" xfId="0"/>
    <xf numFmtId="0" fontId="3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center"/>
    </xf>
    <xf numFmtId="0" fontId="3" fillId="3" borderId="0" pivotButton="0" quotePrefix="0" xfId="0"/>
    <xf numFmtId="0" fontId="3" fillId="3" borderId="0" applyAlignment="1" pivotButton="0" quotePrefix="0" xfId="0">
      <alignment horizontal="center"/>
    </xf>
    <xf numFmtId="0" fontId="4" fillId="0" borderId="0" applyAlignment="1" pivotButton="0" quotePrefix="0" xfId="0">
      <alignment indent="1"/>
    </xf>
    <xf numFmtId="164" fontId="0" fillId="0" borderId="0" applyAlignment="1" pivotButton="0" quotePrefix="0" xfId="0">
      <alignment horizontal="right"/>
    </xf>
    <xf numFmtId="164" fontId="8" fillId="0" borderId="0" applyAlignment="1" pivotButton="0" quotePrefix="0" xfId="0">
      <alignment horizontal="right"/>
    </xf>
    <xf numFmtId="0" fontId="5" fillId="0" borderId="0" applyAlignment="1" pivotButton="0" quotePrefix="0" xfId="0">
      <alignment indent="1"/>
    </xf>
    <xf numFmtId="10" fontId="0" fillId="0" borderId="0" applyAlignment="1" pivotButton="0" quotePrefix="0" xfId="0">
      <alignment horizontal="right"/>
    </xf>
    <xf numFmtId="0" fontId="5" fillId="0" borderId="0" applyAlignment="1" pivotButton="0" quotePrefix="0" xfId="0">
      <alignment indent="2"/>
    </xf>
    <xf numFmtId="169" fontId="0" fillId="0" borderId="0" applyAlignment="1" pivotButton="0" quotePrefix="0" xfId="0">
      <alignment horizontal="right"/>
    </xf>
    <xf numFmtId="169" fontId="8" fillId="0" borderId="0" applyAlignment="1" pivotButton="0" quotePrefix="0" xfId="0">
      <alignment horizontal="right"/>
    </xf>
    <xf numFmtId="0" fontId="4" fillId="6" borderId="0" applyAlignment="1" pivotButton="0" quotePrefix="0" xfId="0">
      <alignment indent="1"/>
    </xf>
    <xf numFmtId="169" fontId="0" fillId="6" borderId="0" applyAlignment="1" pivotButton="0" quotePrefix="0" xfId="0">
      <alignment horizontal="right"/>
    </xf>
    <xf numFmtId="169" fontId="8" fillId="6" borderId="0" applyAlignment="1" pivotButton="0" quotePrefix="0" xfId="0">
      <alignment horizontal="right"/>
    </xf>
    <xf numFmtId="0" fontId="3" fillId="7" borderId="0" applyAlignment="1" pivotButton="0" quotePrefix="0" xfId="0">
      <alignment horizontal="center" vertical="center"/>
    </xf>
    <xf numFmtId="0" fontId="4" fillId="0" borderId="3" applyAlignment="1" pivotButton="0" quotePrefix="0" xfId="0">
      <alignment indent="1"/>
    </xf>
    <xf numFmtId="169" fontId="0" fillId="0" borderId="3" applyAlignment="1" pivotButton="0" quotePrefix="0" xfId="0">
      <alignment horizontal="right"/>
    </xf>
    <xf numFmtId="169" fontId="8" fillId="0" borderId="3" applyAlignment="1" pivotButton="0" quotePrefix="0" xfId="0">
      <alignment horizontal="right"/>
    </xf>
    <xf numFmtId="165" fontId="0" fillId="0" borderId="0" applyAlignment="1" pivotButton="0" quotePrefix="0" xfId="0">
      <alignment horizontal="right"/>
    </xf>
    <xf numFmtId="0" fontId="4" fillId="6" borderId="3" applyAlignment="1" pivotButton="0" quotePrefix="0" xfId="0">
      <alignment indent="1"/>
    </xf>
    <xf numFmtId="169" fontId="0" fillId="6" borderId="3" applyAlignment="1" pivotButton="0" quotePrefix="0" xfId="0">
      <alignment horizontal="right"/>
    </xf>
    <xf numFmtId="169" fontId="8" fillId="6" borderId="3" applyAlignment="1" pivotButton="0" quotePrefix="0" xfId="0">
      <alignment horizontal="right"/>
    </xf>
    <xf numFmtId="0" fontId="4" fillId="0" borderId="0" pivotButton="0" quotePrefix="0" xfId="0"/>
    <xf numFmtId="169" fontId="8" fillId="0" borderId="1" applyAlignment="1" pivotButton="0" quotePrefix="0" xfId="0">
      <alignment horizontal="right"/>
    </xf>
    <xf numFmtId="0" fontId="3" fillId="3" borderId="0" applyAlignment="1" pivotButton="0" quotePrefix="0" xfId="0">
      <alignment horizontal="center" wrapText="1"/>
    </xf>
    <xf numFmtId="0" fontId="6" fillId="5" borderId="1" applyAlignment="1" pivotButton="0" quotePrefix="0" xfId="0">
      <alignment horizontal="center"/>
    </xf>
    <xf numFmtId="169" fontId="5" fillId="0" borderId="0" applyAlignment="1" pivotButton="0" quotePrefix="0" xfId="0">
      <alignment horizontal="right"/>
    </xf>
    <xf numFmtId="0" fontId="4" fillId="0" borderId="2" pivotButton="0" quotePrefix="0" xfId="0"/>
    <xf numFmtId="169" fontId="8" fillId="0" borderId="2" applyAlignment="1" pivotButton="0" quotePrefix="0" xfId="0">
      <alignment horizontal="right"/>
    </xf>
    <xf numFmtId="0" fontId="9" fillId="0" borderId="0" pivotButton="0" quotePrefix="0" xfId="0"/>
    <xf numFmtId="1" fontId="10" fillId="0" borderId="0" applyAlignment="1" pivotButton="0" quotePrefix="0" xfId="0">
      <alignment horizontal="center"/>
    </xf>
    <xf numFmtId="168" fontId="0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center"/>
    </xf>
    <xf numFmtId="0" fontId="0" fillId="8" borderId="0" pivotButton="0" quotePrefix="0" xfId="0"/>
    <xf numFmtId="0" fontId="11" fillId="0" borderId="0" applyAlignment="1" pivotButton="0" quotePrefix="0" xfId="0">
      <alignment horizontal="left" indent="1"/>
    </xf>
    <xf numFmtId="0" fontId="7" fillId="0" borderId="0" applyAlignment="1" pivotButton="0" quotePrefix="0" xfId="0">
      <alignment horizontal="left" indent="1"/>
    </xf>
    <xf numFmtId="0" fontId="12" fillId="2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12" fillId="7" borderId="1" applyAlignment="1" pivotButton="0" quotePrefix="0" xfId="0">
      <alignment horizontal="left" vertical="center" indent="1"/>
    </xf>
    <xf numFmtId="169" fontId="13" fillId="6" borderId="1" applyAlignment="1" pivotButton="0" quotePrefix="0" xfId="0">
      <alignment horizontal="center" vertical="center"/>
    </xf>
    <xf numFmtId="165" fontId="13" fillId="6" borderId="1" applyAlignment="1" pivotButton="0" quotePrefix="0" xfId="0">
      <alignment horizontal="center" vertical="center"/>
    </xf>
    <xf numFmtId="0" fontId="12" fillId="9" borderId="1" applyAlignment="1" pivotButton="0" quotePrefix="0" xfId="0">
      <alignment horizontal="left" vertical="center" indent="1"/>
    </xf>
    <xf numFmtId="168" fontId="13" fillId="6" borderId="1" applyAlignment="1" pivotButton="0" quotePrefix="0" xfId="0">
      <alignment horizontal="center" vertical="center"/>
    </xf>
    <xf numFmtId="0" fontId="12" fillId="3" borderId="0" applyAlignment="1" pivotButton="0" quotePrefix="0" xfId="0">
      <alignment indent="1"/>
    </xf>
    <xf numFmtId="169" fontId="0" fillId="0" borderId="0" pivotButton="0" quotePrefix="0" xfId="0"/>
    <xf numFmtId="0" fontId="8" fillId="0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ont>
        <name val="Calibri"/>
        <b val="1"/>
        <color rgb="002E7D53"/>
        <sz val="10"/>
      </font>
      <fill>
        <patternFill patternType="solid">
          <fgColor rgb="00D6EADD"/>
        </patternFill>
      </fill>
    </dxf>
    <dxf>
      <fill>
        <patternFill patternType="solid">
          <fgColor rgb="00FBE7C6"/>
        </patternFill>
      </fill>
    </dxf>
    <dxf>
      <font>
        <name val="Calibri"/>
        <b val="1"/>
        <color rgb="00C0392B"/>
        <sz val="10"/>
      </font>
      <fill>
        <patternFill patternType="solid">
          <fgColor rgb="00F6D7D2"/>
        </patternFill>
      </fill>
    </dxf>
    <dxf>
      <font>
        <name val="Calibri"/>
        <b val="1"/>
        <color rgb="00FFFFFF"/>
        <sz val="10"/>
      </font>
      <fill>
        <patternFill patternType="solid">
          <fgColor rgb="00C0392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Revenue (bars) vs EBITDA (line) by fiscal year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'Summary'!G15</f>
            </strRef>
          </tx>
          <spPr>
            <a:solidFill>
              <a:srgbClr val="16233A"/>
            </a:solidFill>
            <a:ln>
              <a:prstDash val="solid"/>
            </a:ln>
          </spPr>
          <cat>
            <numRef>
              <f>'Summary'!$F$16:$F$18</f>
            </numRef>
          </cat>
          <val>
            <numRef>
              <f>'Summary'!$G$16:$G$18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'Summary'!H15</f>
            </strRef>
          </tx>
          <spPr>
            <a:ln w="28000">
              <a:solidFill>
                <a:srgbClr val="2E7D53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'Summary'!$H$16:$H$18</f>
            </numRef>
          </val>
          <smooth val="0"/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Revenue (€)</a:t>
                </a:r>
              </a:p>
            </rich>
          </tx>
        </title>
        <majorTickMark val="none"/>
        <minorTickMark val="none"/>
        <crossAx val="10"/>
        <crosses val="autoZero"/>
      </valAx>
      <valAx>
        <axId val="2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EBITDA (€)</a:t>
                </a:r>
              </a:p>
            </rich>
          </tx>
        </title>
        <majorTickMark val="none"/>
        <minorTickMark val="none"/>
        <crossAx val="10"/>
        <crosses val="max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Atelier Nord Finance</author>
  </authors>
  <commentList>
    <comment ref="B6" authorId="0" shapeId="0">
      <text>
        <t>Baseline paid+organic sessions in the first quarter of the plan.</t>
      </text>
    </comment>
    <comment ref="B7" authorId="0" shapeId="0">
      <text>
        <t>Compounding sessions growth applied every quarter.</t>
      </text>
    </comment>
    <comment ref="B8" authorId="0" shapeId="0">
      <text>
        <t>Sessions that convert to an order.</t>
      </text>
    </comment>
    <comment ref="B9" authorId="0" shapeId="0">
      <text>
        <t>Blended basket value before channel price factor and returns.</t>
      </text>
    </comment>
    <comment ref="B10" authorId="0" shapeId="0">
      <text>
        <t>Value of returned goods as a share of gross revenue.</t>
      </text>
    </comment>
    <comment ref="B13" authorId="0" shapeId="0">
      <text>
        <t>Owned e-commerce store.</t>
      </text>
    </comment>
    <comment ref="B14" authorId="0" shapeId="0">
      <text>
        <t>Zalando / About You style platforms.</t>
      </text>
    </comment>
    <comment ref="B15" authorId="0" shapeId="0">
      <text>
        <t>Multi-brand retail partners.</t>
      </text>
    </comment>
    <comment ref="B19" authorId="0" shapeId="0">
      <text>
        <t>Full price on owned channel.</t>
      </text>
    </comment>
    <comment ref="B20" authorId="0" shapeId="0">
      <text>
        <t>Net realised price after marketplace commission.</t>
      </text>
    </comment>
    <comment ref="B21" authorId="0" shapeId="0">
      <text>
        <t>Wholesale price is roughly keystone off retail.</t>
      </text>
    </comment>
    <comment ref="B24" authorId="0" shapeId="0">
      <text>
        <t>Landed product cost.</t>
      </text>
    </comment>
    <comment ref="B25" authorId="0" shapeId="0">
      <text>
        <t>Pick-pack-ship + payment fees.</t>
      </text>
    </comment>
    <comment ref="B26" authorId="0" shapeId="0">
      <text>
        <t>Blended performance + brand spend.</t>
      </text>
    </comment>
    <comment ref="B29" authorId="0" shapeId="0">
      <text>
        <t>HQ, studio, showroom.</t>
      </text>
    </comment>
    <comment ref="B30" authorId="0" shapeId="0">
      <text>
        <t>Shopify, ERP, analytics, design.</t>
      </text>
    </comment>
    <comment ref="B31" authorId="0" shapeId="0">
      <text>
        <t>Professional services, travel, misc.</t>
      </text>
    </comment>
    <comment ref="B32" authorId="0" shapeId="0">
      <text>
        <t>Fit-out and capitalised tooling.</t>
      </text>
    </comment>
    <comment ref="B35" authorId="0" shapeId="0">
      <text>
        <t>Applied only when EBIT is positive.</t>
      </text>
    </comment>
    <comment ref="B36" authorId="0" shapeId="0">
      <text>
        <t>Cash at the start of Q1 (seed round proceeds).</t>
      </text>
    </comment>
    <comment ref="B37" authorId="0" shapeId="0">
      <text>
        <t>Fit-out, equipment, capitalised software.</t>
      </text>
    </comment>
    <comment ref="B38" authorId="0" shapeId="0">
      <text>
        <t>Employer taxes, benefits, pension.</t>
      </text>
    </comment>
    <comment ref="B39" authorId="0" shapeId="0">
      <text>
        <t>Inventory + receivables tied up per € of revenue growth.</t>
      </text>
    </comment>
    <comment ref="B42" authorId="0" shapeId="0">
      <text>
        <t>Board covenant: closing cash below this fires a red flag.</t>
      </text>
    </comment>
    <comment ref="B43" authorId="0" shapeId="0">
      <text>
        <t>Runway below this fires a red flag.</t>
      </text>
    </comment>
  </commentList>
</comments>
</file>

<file path=xl/comments/comment2.xml><?xml version="1.0" encoding="utf-8"?>
<comments xmlns="http://schemas.openxmlformats.org/spreadsheetml/2006/main">
  <authors>
    <author>Atelier Nord Finance</author>
  </authors>
  <commentList>
    <comment ref="B28" authorId="0" shapeId="0">
      <text>
        <t>Proves the P&amp;L revenue line reconciles to the Revenue build. Green when |diff| &lt; €0.50.</t>
      </text>
    </comment>
  </commentList>
</comments>
</file>

<file path=xl/comments/comment3.xml><?xml version="1.0" encoding="utf-8"?>
<comments xmlns="http://schemas.openxmlformats.org/spreadsheetml/2006/main">
  <authors>
    <author>Atelier Nord Finance</author>
  </authors>
  <commentList>
    <comment ref="B5" authorId="0" shapeId="0">
      <text>
        <t>Blue cells are inputs: base annual salary and the quarter the role is hired.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19</row>
      <rowOff>0</rowOff>
    </from>
    <ext cx="7200000" cy="30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0</row>
      <rowOff>0</rowOff>
    </from>
    <ext cx="2857500" cy="8572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16233A"/>
    <outlinePr summaryBelow="1" summaryRight="1"/>
    <pageSetUpPr fitToPage="1"/>
  </sheetPr>
  <dimension ref="A1:C4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30" customWidth="1" min="3" max="3"/>
  </cols>
  <sheetData>
    <row r="1" ht="30" customHeight="1">
      <c r="A1" s="1" t="inlineStr">
        <is>
          <t>Atelier Nord — Model Assumptions</t>
        </is>
      </c>
    </row>
    <row r="2" ht="16" customHeight="1">
      <c r="A2" s="2" t="inlineStr">
        <is>
          <t>All model drivers. These input cells are the ONLY hardcoded values; every other sheet is formula-driven.</t>
        </is>
      </c>
    </row>
    <row r="4" ht="16" customHeight="1">
      <c r="A4" s="3" t="inlineStr">
        <is>
          <t>Driver</t>
        </is>
      </c>
      <c r="B4" s="3" t="inlineStr">
        <is>
          <t>Value</t>
        </is>
      </c>
      <c r="C4" s="3" t="inlineStr">
        <is>
          <t>Unit / note</t>
        </is>
      </c>
    </row>
    <row r="5" ht="18" customHeight="1">
      <c r="A5" s="4" t="inlineStr">
        <is>
          <t>Traffic &amp; conversion funnel</t>
        </is>
      </c>
    </row>
    <row r="6">
      <c r="A6" s="5" t="inlineStr">
        <is>
          <t>Starting quarterly sessions (Q1)</t>
        </is>
      </c>
      <c r="B6" s="6" t="n">
        <v>180000</v>
      </c>
      <c r="C6" s="7" t="inlineStr">
        <is>
          <t>sessions / quarter</t>
        </is>
      </c>
    </row>
    <row r="7">
      <c r="A7" s="5" t="inlineStr">
        <is>
          <t>QoQ traffic growth</t>
        </is>
      </c>
      <c r="B7" s="8" t="n">
        <v>0.1</v>
      </c>
      <c r="C7" s="7" t="inlineStr">
        <is>
          <t>quarter-over-quarter</t>
        </is>
      </c>
    </row>
    <row r="8">
      <c r="A8" s="5" t="inlineStr">
        <is>
          <t>Conversion rate</t>
        </is>
      </c>
      <c r="B8" s="9" t="n">
        <v>0.023</v>
      </c>
      <c r="C8" s="7" t="inlineStr">
        <is>
          <t>orders / session</t>
        </is>
      </c>
    </row>
    <row r="9">
      <c r="A9" s="5" t="inlineStr">
        <is>
          <t>Average order value (AOV)</t>
        </is>
      </c>
      <c r="B9" s="10" t="n">
        <v>155</v>
      </c>
      <c r="C9" s="7" t="inlineStr">
        <is>
          <t>€ / order (gross)</t>
        </is>
      </c>
    </row>
    <row r="10">
      <c r="A10" s="5" t="inlineStr">
        <is>
          <t>Returns rate</t>
        </is>
      </c>
      <c r="B10" s="8" t="n">
        <v>0.1</v>
      </c>
      <c r="C10" s="7" t="inlineStr">
        <is>
          <t>% of gross revenue</t>
        </is>
      </c>
    </row>
    <row r="12" ht="18" customHeight="1">
      <c r="A12" s="4" t="inlineStr">
        <is>
          <t>Channel mix (% of orders)</t>
        </is>
      </c>
    </row>
    <row r="13">
      <c r="A13" s="5" t="inlineStr">
        <is>
          <t>DTC site</t>
        </is>
      </c>
      <c r="B13" s="8" t="n">
        <v>0.62</v>
      </c>
      <c r="C13" s="7" t="inlineStr">
        <is>
          <t>share of orders</t>
        </is>
      </c>
    </row>
    <row r="14">
      <c r="A14" s="5" t="inlineStr">
        <is>
          <t>Marketplace</t>
        </is>
      </c>
      <c r="B14" s="8" t="n">
        <v>0.26</v>
      </c>
      <c r="C14" s="7" t="inlineStr">
        <is>
          <t>share of orders</t>
        </is>
      </c>
    </row>
    <row r="15">
      <c r="A15" s="5" t="inlineStr">
        <is>
          <t>Wholesale</t>
        </is>
      </c>
      <c r="B15" s="8" t="n">
        <v>0.12</v>
      </c>
      <c r="C15" s="7" t="inlineStr">
        <is>
          <t>share of orders</t>
        </is>
      </c>
    </row>
    <row r="16">
      <c r="A16" s="7" t="inlineStr">
        <is>
          <t>Mix check (must be 100%)</t>
        </is>
      </c>
      <c r="B16" s="11">
        <f>B13+B14+B15</f>
        <v/>
      </c>
    </row>
    <row r="18" ht="18" customHeight="1">
      <c r="A18" s="4" t="inlineStr">
        <is>
          <t>Channel price factor (× AOV)</t>
        </is>
      </c>
    </row>
    <row r="19">
      <c r="A19" s="5" t="inlineStr">
        <is>
          <t>DTC site price factor</t>
        </is>
      </c>
      <c r="B19" s="12" t="n">
        <v>1</v>
      </c>
      <c r="C19" s="7" t="inlineStr">
        <is>
          <t>× AOV</t>
        </is>
      </c>
    </row>
    <row r="20">
      <c r="A20" s="5" t="inlineStr">
        <is>
          <t>Marketplace price factor</t>
        </is>
      </c>
      <c r="B20" s="12" t="n">
        <v>0.9</v>
      </c>
      <c r="C20" s="7" t="inlineStr">
        <is>
          <t>× AOV net of platform take</t>
        </is>
      </c>
    </row>
    <row r="21">
      <c r="A21" s="5" t="inlineStr">
        <is>
          <t>Wholesale price factor</t>
        </is>
      </c>
      <c r="B21" s="12" t="n">
        <v>0.55</v>
      </c>
      <c r="C21" s="7" t="inlineStr">
        <is>
          <t>× AOV (wholesale price)</t>
        </is>
      </c>
    </row>
    <row r="23" ht="18" customHeight="1">
      <c r="A23" s="4" t="inlineStr">
        <is>
          <t>Cost drivers (% of net revenue)</t>
        </is>
      </c>
    </row>
    <row r="24">
      <c r="A24" s="5" t="inlineStr">
        <is>
          <t>COGS</t>
        </is>
      </c>
      <c r="B24" s="8" t="n">
        <v>0.4</v>
      </c>
      <c r="C24" s="7" t="inlineStr">
        <is>
          <t>% of net revenue</t>
        </is>
      </c>
    </row>
    <row r="25">
      <c r="A25" s="5" t="inlineStr">
        <is>
          <t>Fulfilment</t>
        </is>
      </c>
      <c r="B25" s="8" t="n">
        <v>0.08</v>
      </c>
      <c r="C25" s="7" t="inlineStr">
        <is>
          <t>% of net revenue</t>
        </is>
      </c>
    </row>
    <row r="26">
      <c r="A26" s="5" t="inlineStr">
        <is>
          <t>Marketing</t>
        </is>
      </c>
      <c r="B26" s="8" t="n">
        <v>0.16</v>
      </c>
      <c r="C26" s="7" t="inlineStr">
        <is>
          <t>% of net revenue</t>
        </is>
      </c>
    </row>
    <row r="28" ht="18" customHeight="1">
      <c r="A28" s="4" t="inlineStr">
        <is>
          <t>Fixed operating cost (€ / quarter)</t>
        </is>
      </c>
    </row>
    <row r="29">
      <c r="A29" s="5" t="inlineStr">
        <is>
          <t>Rent &amp; facilities</t>
        </is>
      </c>
      <c r="B29" s="10" t="n">
        <v>45000</v>
      </c>
      <c r="C29" s="7" t="inlineStr">
        <is>
          <t>€ / quarter</t>
        </is>
      </c>
    </row>
    <row r="30">
      <c r="A30" s="5" t="inlineStr">
        <is>
          <t>Software &amp; tools</t>
        </is>
      </c>
      <c r="B30" s="10" t="n">
        <v>18000</v>
      </c>
      <c r="C30" s="7" t="inlineStr">
        <is>
          <t>€ / quarter</t>
        </is>
      </c>
    </row>
    <row r="31">
      <c r="A31" s="5" t="inlineStr">
        <is>
          <t>Other opex</t>
        </is>
      </c>
      <c r="B31" s="10" t="n">
        <v>22000</v>
      </c>
      <c r="C31" s="7" t="inlineStr">
        <is>
          <t>€ / quarter</t>
        </is>
      </c>
    </row>
    <row r="32">
      <c r="A32" s="5" t="inlineStr">
        <is>
          <t>Depreciation &amp; amortisation</t>
        </is>
      </c>
      <c r="B32" s="10" t="n">
        <v>12000</v>
      </c>
      <c r="C32" s="7" t="inlineStr">
        <is>
          <t>€ / quarter</t>
        </is>
      </c>
    </row>
    <row r="34" ht="18" customHeight="1">
      <c r="A34" s="4" t="inlineStr">
        <is>
          <t>Capital, tax &amp; working capital</t>
        </is>
      </c>
    </row>
    <row r="35">
      <c r="A35" s="5" t="inlineStr">
        <is>
          <t>Corporate tax rate</t>
        </is>
      </c>
      <c r="B35" s="8" t="n">
        <v>0.25</v>
      </c>
      <c r="C35" s="7" t="inlineStr">
        <is>
          <t>on positive EBIT</t>
        </is>
      </c>
    </row>
    <row r="36">
      <c r="A36" s="5" t="inlineStr">
        <is>
          <t>Starting cash</t>
        </is>
      </c>
      <c r="B36" s="10" t="n">
        <v>700000</v>
      </c>
      <c r="C36" s="7" t="inlineStr">
        <is>
          <t>€ opening balance</t>
        </is>
      </c>
    </row>
    <row r="37">
      <c r="A37" s="5" t="inlineStr">
        <is>
          <t>Capex</t>
        </is>
      </c>
      <c r="B37" s="10" t="n">
        <v>15000</v>
      </c>
      <c r="C37" s="7" t="inlineStr">
        <is>
          <t>€ / quarter</t>
        </is>
      </c>
    </row>
    <row r="38">
      <c r="A38" s="5" t="inlineStr">
        <is>
          <t>Payroll on-cost loading</t>
        </is>
      </c>
      <c r="B38" s="8" t="n">
        <v>0.22</v>
      </c>
      <c r="C38" s="7" t="inlineStr">
        <is>
          <t>on base salary</t>
        </is>
      </c>
    </row>
    <row r="39">
      <c r="A39" s="5" t="inlineStr">
        <is>
          <t>Working-capital investment</t>
        </is>
      </c>
      <c r="B39" s="8" t="n">
        <v>0.1</v>
      </c>
      <c r="C39" s="7" t="inlineStr">
        <is>
          <t>of Δ net revenue</t>
        </is>
      </c>
    </row>
    <row r="41" ht="18" customHeight="1">
      <c r="A41" s="4" t="inlineStr">
        <is>
          <t>Risk thresholds (RAG flags)</t>
        </is>
      </c>
    </row>
    <row r="42">
      <c r="A42" s="5" t="inlineStr">
        <is>
          <t>Minimum cash floor</t>
        </is>
      </c>
      <c r="B42" s="10" t="n">
        <v>150000</v>
      </c>
      <c r="C42" s="7" t="inlineStr">
        <is>
          <t>€ closing cash</t>
        </is>
      </c>
    </row>
    <row r="43">
      <c r="A43" s="5" t="inlineStr">
        <is>
          <t>Minimum runway</t>
        </is>
      </c>
      <c r="B43" s="13" t="n">
        <v>6</v>
      </c>
      <c r="C43" s="7" t="inlineStr">
        <is>
          <t>months</t>
        </is>
      </c>
    </row>
  </sheetData>
  <mergeCells count="9">
    <mergeCell ref="A28:C28"/>
    <mergeCell ref="A41:C41"/>
    <mergeCell ref="A1:C1"/>
    <mergeCell ref="A5:C5"/>
    <mergeCell ref="A23:C23"/>
    <mergeCell ref="A18:C18"/>
    <mergeCell ref="A34:C34"/>
    <mergeCell ref="A12:C12"/>
    <mergeCell ref="A2:C2"/>
  </mergeCells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5B6B82"/>
    <outlinePr summaryBelow="1" summaryRight="1"/>
    <pageSetUpPr fitToPage="1"/>
  </sheetPr>
  <dimension ref="A1:N2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5" customWidth="1" min="14" max="14"/>
  </cols>
  <sheetData>
    <row r="1" ht="30" customHeight="1">
      <c r="A1" s="1" t="inlineStr">
        <is>
          <t>Revenue Build — the source of truth</t>
        </is>
      </c>
    </row>
    <row r="2" ht="16" customHeight="1">
      <c r="A2" s="2" t="inlineStr">
        <is>
          <t>Driver funnel → orders → channel split → gross → net revenue. Quarterly across three years. The P&amp;L revenue line links here.</t>
        </is>
      </c>
    </row>
    <row r="4" ht="15" customHeight="1">
      <c r="A4" s="14" t="inlineStr"/>
      <c r="B4" s="15" t="inlineStr">
        <is>
          <t>Year 1</t>
        </is>
      </c>
      <c r="F4" s="15" t="inlineStr">
        <is>
          <t>Year 2</t>
        </is>
      </c>
      <c r="J4" s="15" t="inlineStr">
        <is>
          <t>Year 3</t>
        </is>
      </c>
      <c r="N4" s="16" t="inlineStr">
        <is>
          <t>3-yr total</t>
        </is>
      </c>
    </row>
    <row r="5" ht="16" customHeight="1">
      <c r="A5" s="17" t="inlineStr">
        <is>
          <t>Metric</t>
        </is>
      </c>
      <c r="B5" s="18" t="inlineStr">
        <is>
          <t>Q1 Y1</t>
        </is>
      </c>
      <c r="C5" s="18" t="inlineStr">
        <is>
          <t>Q2 Y1</t>
        </is>
      </c>
      <c r="D5" s="18" t="inlineStr">
        <is>
          <t>Q3 Y1</t>
        </is>
      </c>
      <c r="E5" s="18" t="inlineStr">
        <is>
          <t>Q4 Y1</t>
        </is>
      </c>
      <c r="F5" s="18" t="inlineStr">
        <is>
          <t>Q1 Y2</t>
        </is>
      </c>
      <c r="G5" s="18" t="inlineStr">
        <is>
          <t>Q2 Y2</t>
        </is>
      </c>
      <c r="H5" s="18" t="inlineStr">
        <is>
          <t>Q3 Y2</t>
        </is>
      </c>
      <c r="I5" s="18" t="inlineStr">
        <is>
          <t>Q4 Y2</t>
        </is>
      </c>
      <c r="J5" s="18" t="inlineStr">
        <is>
          <t>Q1 Y3</t>
        </is>
      </c>
      <c r="K5" s="18" t="inlineStr">
        <is>
          <t>Q2 Y3</t>
        </is>
      </c>
      <c r="L5" s="18" t="inlineStr">
        <is>
          <t>Q3 Y3</t>
        </is>
      </c>
      <c r="M5" s="18" t="inlineStr">
        <is>
          <t>Q4 Y3</t>
        </is>
      </c>
    </row>
    <row r="7">
      <c r="A7" s="19" t="inlineStr">
        <is>
          <t>Sessions</t>
        </is>
      </c>
      <c r="B7" s="20">
        <f>'Assumptions'!$B$6</f>
        <v/>
      </c>
      <c r="C7" s="20">
        <f>B7*(1+'Assumptions'!$B$7)</f>
        <v/>
      </c>
      <c r="D7" s="20">
        <f>C7*(1+'Assumptions'!$B$7)</f>
        <v/>
      </c>
      <c r="E7" s="20">
        <f>D7*(1+'Assumptions'!$B$7)</f>
        <v/>
      </c>
      <c r="F7" s="20">
        <f>E7*(1+'Assumptions'!$B$7)</f>
        <v/>
      </c>
      <c r="G7" s="20">
        <f>F7*(1+'Assumptions'!$B$7)</f>
        <v/>
      </c>
      <c r="H7" s="20">
        <f>G7*(1+'Assumptions'!$B$7)</f>
        <v/>
      </c>
      <c r="I7" s="20">
        <f>H7*(1+'Assumptions'!$B$7)</f>
        <v/>
      </c>
      <c r="J7" s="20">
        <f>I7*(1+'Assumptions'!$B$7)</f>
        <v/>
      </c>
      <c r="K7" s="20">
        <f>J7*(1+'Assumptions'!$B$7)</f>
        <v/>
      </c>
      <c r="L7" s="20">
        <f>K7*(1+'Assumptions'!$B$7)</f>
        <v/>
      </c>
      <c r="M7" s="20">
        <f>L7*(1+'Assumptions'!$B$7)</f>
        <v/>
      </c>
      <c r="N7" s="21">
        <f>SUM(B7:M7)</f>
        <v/>
      </c>
    </row>
    <row r="8">
      <c r="A8" s="22" t="inlineStr">
        <is>
          <t>Conversion rate</t>
        </is>
      </c>
      <c r="B8" s="23">
        <f>'Assumptions'!$B$8</f>
        <v/>
      </c>
      <c r="C8" s="23">
        <f>'Assumptions'!$B$8</f>
        <v/>
      </c>
      <c r="D8" s="23">
        <f>'Assumptions'!$B$8</f>
        <v/>
      </c>
      <c r="E8" s="23">
        <f>'Assumptions'!$B$8</f>
        <v/>
      </c>
      <c r="F8" s="23">
        <f>'Assumptions'!$B$8</f>
        <v/>
      </c>
      <c r="G8" s="23">
        <f>'Assumptions'!$B$8</f>
        <v/>
      </c>
      <c r="H8" s="23">
        <f>'Assumptions'!$B$8</f>
        <v/>
      </c>
      <c r="I8" s="23">
        <f>'Assumptions'!$B$8</f>
        <v/>
      </c>
      <c r="J8" s="23">
        <f>'Assumptions'!$B$8</f>
        <v/>
      </c>
      <c r="K8" s="23">
        <f>'Assumptions'!$B$8</f>
        <v/>
      </c>
      <c r="L8" s="23">
        <f>'Assumptions'!$B$8</f>
        <v/>
      </c>
      <c r="M8" s="23">
        <f>'Assumptions'!$B$8</f>
        <v/>
      </c>
    </row>
    <row r="9">
      <c r="A9" s="19" t="inlineStr">
        <is>
          <t>Orders</t>
        </is>
      </c>
      <c r="B9" s="20">
        <f>B7*B8</f>
        <v/>
      </c>
      <c r="C9" s="20">
        <f>C7*C8</f>
        <v/>
      </c>
      <c r="D9" s="20">
        <f>D7*D8</f>
        <v/>
      </c>
      <c r="E9" s="20">
        <f>E7*E8</f>
        <v/>
      </c>
      <c r="F9" s="20">
        <f>F7*F8</f>
        <v/>
      </c>
      <c r="G9" s="20">
        <f>G7*G8</f>
        <v/>
      </c>
      <c r="H9" s="20">
        <f>H7*H8</f>
        <v/>
      </c>
      <c r="I9" s="20">
        <f>I7*I8</f>
        <v/>
      </c>
      <c r="J9" s="20">
        <f>J7*J8</f>
        <v/>
      </c>
      <c r="K9" s="20">
        <f>K7*K8</f>
        <v/>
      </c>
      <c r="L9" s="20">
        <f>L7*L8</f>
        <v/>
      </c>
      <c r="M9" s="20">
        <f>M7*M8</f>
        <v/>
      </c>
      <c r="N9" s="21">
        <f>SUM(B9:M9)</f>
        <v/>
      </c>
    </row>
    <row r="11">
      <c r="A11" s="24" t="inlineStr">
        <is>
          <t>Units — DTC site</t>
        </is>
      </c>
      <c r="B11" s="20">
        <f>B9*'Assumptions'!$B$13</f>
        <v/>
      </c>
      <c r="C11" s="20">
        <f>C9*'Assumptions'!$B$13</f>
        <v/>
      </c>
      <c r="D11" s="20">
        <f>D9*'Assumptions'!$B$13</f>
        <v/>
      </c>
      <c r="E11" s="20">
        <f>E9*'Assumptions'!$B$13</f>
        <v/>
      </c>
      <c r="F11" s="20">
        <f>F9*'Assumptions'!$B$13</f>
        <v/>
      </c>
      <c r="G11" s="20">
        <f>G9*'Assumptions'!$B$13</f>
        <v/>
      </c>
      <c r="H11" s="20">
        <f>H9*'Assumptions'!$B$13</f>
        <v/>
      </c>
      <c r="I11" s="20">
        <f>I9*'Assumptions'!$B$13</f>
        <v/>
      </c>
      <c r="J11" s="20">
        <f>J9*'Assumptions'!$B$13</f>
        <v/>
      </c>
      <c r="K11" s="20">
        <f>K9*'Assumptions'!$B$13</f>
        <v/>
      </c>
      <c r="L11" s="20">
        <f>L9*'Assumptions'!$B$13</f>
        <v/>
      </c>
      <c r="M11" s="20">
        <f>M9*'Assumptions'!$B$13</f>
        <v/>
      </c>
      <c r="N11" s="21">
        <f>SUM(B11:M11)</f>
        <v/>
      </c>
    </row>
    <row r="12">
      <c r="A12" s="24" t="inlineStr">
        <is>
          <t>Units — Marketplace</t>
        </is>
      </c>
      <c r="B12" s="20">
        <f>B9*'Assumptions'!$B$14</f>
        <v/>
      </c>
      <c r="C12" s="20">
        <f>C9*'Assumptions'!$B$14</f>
        <v/>
      </c>
      <c r="D12" s="20">
        <f>D9*'Assumptions'!$B$14</f>
        <v/>
      </c>
      <c r="E12" s="20">
        <f>E9*'Assumptions'!$B$14</f>
        <v/>
      </c>
      <c r="F12" s="20">
        <f>F9*'Assumptions'!$B$14</f>
        <v/>
      </c>
      <c r="G12" s="20">
        <f>G9*'Assumptions'!$B$14</f>
        <v/>
      </c>
      <c r="H12" s="20">
        <f>H9*'Assumptions'!$B$14</f>
        <v/>
      </c>
      <c r="I12" s="20">
        <f>I9*'Assumptions'!$B$14</f>
        <v/>
      </c>
      <c r="J12" s="20">
        <f>J9*'Assumptions'!$B$14</f>
        <v/>
      </c>
      <c r="K12" s="20">
        <f>K9*'Assumptions'!$B$14</f>
        <v/>
      </c>
      <c r="L12" s="20">
        <f>L9*'Assumptions'!$B$14</f>
        <v/>
      </c>
      <c r="M12" s="20">
        <f>M9*'Assumptions'!$B$14</f>
        <v/>
      </c>
      <c r="N12" s="21">
        <f>SUM(B12:M12)</f>
        <v/>
      </c>
    </row>
    <row r="13">
      <c r="A13" s="24" t="inlineStr">
        <is>
          <t>Units — Wholesale</t>
        </is>
      </c>
      <c r="B13" s="20">
        <f>B9*'Assumptions'!$B$15</f>
        <v/>
      </c>
      <c r="C13" s="20">
        <f>C9*'Assumptions'!$B$15</f>
        <v/>
      </c>
      <c r="D13" s="20">
        <f>D9*'Assumptions'!$B$15</f>
        <v/>
      </c>
      <c r="E13" s="20">
        <f>E9*'Assumptions'!$B$15</f>
        <v/>
      </c>
      <c r="F13" s="20">
        <f>F9*'Assumptions'!$B$15</f>
        <v/>
      </c>
      <c r="G13" s="20">
        <f>G9*'Assumptions'!$B$15</f>
        <v/>
      </c>
      <c r="H13" s="20">
        <f>H9*'Assumptions'!$B$15</f>
        <v/>
      </c>
      <c r="I13" s="20">
        <f>I9*'Assumptions'!$B$15</f>
        <v/>
      </c>
      <c r="J13" s="20">
        <f>J9*'Assumptions'!$B$15</f>
        <v/>
      </c>
      <c r="K13" s="20">
        <f>K9*'Assumptions'!$B$15</f>
        <v/>
      </c>
      <c r="L13" s="20">
        <f>L9*'Assumptions'!$B$15</f>
        <v/>
      </c>
      <c r="M13" s="20">
        <f>M9*'Assumptions'!$B$15</f>
        <v/>
      </c>
      <c r="N13" s="21">
        <f>SUM(B13:M13)</f>
        <v/>
      </c>
    </row>
    <row r="14">
      <c r="A14" s="19" t="inlineStr">
        <is>
          <t>Total units</t>
        </is>
      </c>
      <c r="B14" s="20">
        <f>SUM(B11:B13)</f>
        <v/>
      </c>
      <c r="C14" s="20">
        <f>SUM(C11:C13)</f>
        <v/>
      </c>
      <c r="D14" s="20">
        <f>SUM(D11:D13)</f>
        <v/>
      </c>
      <c r="E14" s="20">
        <f>SUM(E11:E13)</f>
        <v/>
      </c>
      <c r="F14" s="20">
        <f>SUM(F11:F13)</f>
        <v/>
      </c>
      <c r="G14" s="20">
        <f>SUM(G11:G13)</f>
        <v/>
      </c>
      <c r="H14" s="20">
        <f>SUM(H11:H13)</f>
        <v/>
      </c>
      <c r="I14" s="20">
        <f>SUM(I11:I13)</f>
        <v/>
      </c>
      <c r="J14" s="20">
        <f>SUM(J11:J13)</f>
        <v/>
      </c>
      <c r="K14" s="20">
        <f>SUM(K11:K13)</f>
        <v/>
      </c>
      <c r="L14" s="20">
        <f>SUM(L11:L13)</f>
        <v/>
      </c>
      <c r="M14" s="20">
        <f>SUM(M11:M13)</f>
        <v/>
      </c>
      <c r="N14" s="21">
        <f>SUM(B14:M14)</f>
        <v/>
      </c>
    </row>
    <row r="16">
      <c r="A16" s="24" t="inlineStr">
        <is>
          <t>Price — DTC site</t>
        </is>
      </c>
      <c r="B16" s="25">
        <f>'Assumptions'!$B$9*'Assumptions'!$B$19</f>
        <v/>
      </c>
      <c r="C16" s="25">
        <f>'Assumptions'!$B$9*'Assumptions'!$B$19</f>
        <v/>
      </c>
      <c r="D16" s="25">
        <f>'Assumptions'!$B$9*'Assumptions'!$B$19</f>
        <v/>
      </c>
      <c r="E16" s="25">
        <f>'Assumptions'!$B$9*'Assumptions'!$B$19</f>
        <v/>
      </c>
      <c r="F16" s="25">
        <f>'Assumptions'!$B$9*'Assumptions'!$B$19</f>
        <v/>
      </c>
      <c r="G16" s="25">
        <f>'Assumptions'!$B$9*'Assumptions'!$B$19</f>
        <v/>
      </c>
      <c r="H16" s="25">
        <f>'Assumptions'!$B$9*'Assumptions'!$B$19</f>
        <v/>
      </c>
      <c r="I16" s="25">
        <f>'Assumptions'!$B$9*'Assumptions'!$B$19</f>
        <v/>
      </c>
      <c r="J16" s="25">
        <f>'Assumptions'!$B$9*'Assumptions'!$B$19</f>
        <v/>
      </c>
      <c r="K16" s="25">
        <f>'Assumptions'!$B$9*'Assumptions'!$B$19</f>
        <v/>
      </c>
      <c r="L16" s="25">
        <f>'Assumptions'!$B$9*'Assumptions'!$B$19</f>
        <v/>
      </c>
      <c r="M16" s="25">
        <f>'Assumptions'!$B$9*'Assumptions'!$B$19</f>
        <v/>
      </c>
    </row>
    <row r="17">
      <c r="A17" s="24" t="inlineStr">
        <is>
          <t>Price — Marketplace</t>
        </is>
      </c>
      <c r="B17" s="25">
        <f>'Assumptions'!$B$9*'Assumptions'!$B$20</f>
        <v/>
      </c>
      <c r="C17" s="25">
        <f>'Assumptions'!$B$9*'Assumptions'!$B$20</f>
        <v/>
      </c>
      <c r="D17" s="25">
        <f>'Assumptions'!$B$9*'Assumptions'!$B$20</f>
        <v/>
      </c>
      <c r="E17" s="25">
        <f>'Assumptions'!$B$9*'Assumptions'!$B$20</f>
        <v/>
      </c>
      <c r="F17" s="25">
        <f>'Assumptions'!$B$9*'Assumptions'!$B$20</f>
        <v/>
      </c>
      <c r="G17" s="25">
        <f>'Assumptions'!$B$9*'Assumptions'!$B$20</f>
        <v/>
      </c>
      <c r="H17" s="25">
        <f>'Assumptions'!$B$9*'Assumptions'!$B$20</f>
        <v/>
      </c>
      <c r="I17" s="25">
        <f>'Assumptions'!$B$9*'Assumptions'!$B$20</f>
        <v/>
      </c>
      <c r="J17" s="25">
        <f>'Assumptions'!$B$9*'Assumptions'!$B$20</f>
        <v/>
      </c>
      <c r="K17" s="25">
        <f>'Assumptions'!$B$9*'Assumptions'!$B$20</f>
        <v/>
      </c>
      <c r="L17" s="25">
        <f>'Assumptions'!$B$9*'Assumptions'!$B$20</f>
        <v/>
      </c>
      <c r="M17" s="25">
        <f>'Assumptions'!$B$9*'Assumptions'!$B$20</f>
        <v/>
      </c>
    </row>
    <row r="18">
      <c r="A18" s="24" t="inlineStr">
        <is>
          <t>Price — Wholesale</t>
        </is>
      </c>
      <c r="B18" s="25">
        <f>'Assumptions'!$B$9*'Assumptions'!$B$21</f>
        <v/>
      </c>
      <c r="C18" s="25">
        <f>'Assumptions'!$B$9*'Assumptions'!$B$21</f>
        <v/>
      </c>
      <c r="D18" s="25">
        <f>'Assumptions'!$B$9*'Assumptions'!$B$21</f>
        <v/>
      </c>
      <c r="E18" s="25">
        <f>'Assumptions'!$B$9*'Assumptions'!$B$21</f>
        <v/>
      </c>
      <c r="F18" s="25">
        <f>'Assumptions'!$B$9*'Assumptions'!$B$21</f>
        <v/>
      </c>
      <c r="G18" s="25">
        <f>'Assumptions'!$B$9*'Assumptions'!$B$21</f>
        <v/>
      </c>
      <c r="H18" s="25">
        <f>'Assumptions'!$B$9*'Assumptions'!$B$21</f>
        <v/>
      </c>
      <c r="I18" s="25">
        <f>'Assumptions'!$B$9*'Assumptions'!$B$21</f>
        <v/>
      </c>
      <c r="J18" s="25">
        <f>'Assumptions'!$B$9*'Assumptions'!$B$21</f>
        <v/>
      </c>
      <c r="K18" s="25">
        <f>'Assumptions'!$B$9*'Assumptions'!$B$21</f>
        <v/>
      </c>
      <c r="L18" s="25">
        <f>'Assumptions'!$B$9*'Assumptions'!$B$21</f>
        <v/>
      </c>
      <c r="M18" s="25">
        <f>'Assumptions'!$B$9*'Assumptions'!$B$21</f>
        <v/>
      </c>
    </row>
    <row r="20">
      <c r="A20" s="24" t="inlineStr">
        <is>
          <t>Gross revenue — DTC site</t>
        </is>
      </c>
      <c r="B20" s="25">
        <f>B11*B16</f>
        <v/>
      </c>
      <c r="C20" s="25">
        <f>C11*C16</f>
        <v/>
      </c>
      <c r="D20" s="25">
        <f>D11*D16</f>
        <v/>
      </c>
      <c r="E20" s="25">
        <f>E11*E16</f>
        <v/>
      </c>
      <c r="F20" s="25">
        <f>F11*F16</f>
        <v/>
      </c>
      <c r="G20" s="25">
        <f>G11*G16</f>
        <v/>
      </c>
      <c r="H20" s="25">
        <f>H11*H16</f>
        <v/>
      </c>
      <c r="I20" s="25">
        <f>I11*I16</f>
        <v/>
      </c>
      <c r="J20" s="25">
        <f>J11*J16</f>
        <v/>
      </c>
      <c r="K20" s="25">
        <f>K11*K16</f>
        <v/>
      </c>
      <c r="L20" s="25">
        <f>L11*L16</f>
        <v/>
      </c>
      <c r="M20" s="25">
        <f>M11*M16</f>
        <v/>
      </c>
      <c r="N20" s="26">
        <f>SUM(B20:M20)</f>
        <v/>
      </c>
    </row>
    <row r="21">
      <c r="A21" s="24" t="inlineStr">
        <is>
          <t>Gross revenue — Marketplace</t>
        </is>
      </c>
      <c r="B21" s="25">
        <f>B12*B17</f>
        <v/>
      </c>
      <c r="C21" s="25">
        <f>C12*C17</f>
        <v/>
      </c>
      <c r="D21" s="25">
        <f>D12*D17</f>
        <v/>
      </c>
      <c r="E21" s="25">
        <f>E12*E17</f>
        <v/>
      </c>
      <c r="F21" s="25">
        <f>F12*F17</f>
        <v/>
      </c>
      <c r="G21" s="25">
        <f>G12*G17</f>
        <v/>
      </c>
      <c r="H21" s="25">
        <f>H12*H17</f>
        <v/>
      </c>
      <c r="I21" s="25">
        <f>I12*I17</f>
        <v/>
      </c>
      <c r="J21" s="25">
        <f>J12*J17</f>
        <v/>
      </c>
      <c r="K21" s="25">
        <f>K12*K17</f>
        <v/>
      </c>
      <c r="L21" s="25">
        <f>L12*L17</f>
        <v/>
      </c>
      <c r="M21" s="25">
        <f>M12*M17</f>
        <v/>
      </c>
      <c r="N21" s="26">
        <f>SUM(B21:M21)</f>
        <v/>
      </c>
    </row>
    <row r="22">
      <c r="A22" s="24" t="inlineStr">
        <is>
          <t>Gross revenue — Wholesale</t>
        </is>
      </c>
      <c r="B22" s="25">
        <f>B13*B18</f>
        <v/>
      </c>
      <c r="C22" s="25">
        <f>C13*C18</f>
        <v/>
      </c>
      <c r="D22" s="25">
        <f>D13*D18</f>
        <v/>
      </c>
      <c r="E22" s="25">
        <f>E13*E18</f>
        <v/>
      </c>
      <c r="F22" s="25">
        <f>F13*F18</f>
        <v/>
      </c>
      <c r="G22" s="25">
        <f>G13*G18</f>
        <v/>
      </c>
      <c r="H22" s="25">
        <f>H13*H18</f>
        <v/>
      </c>
      <c r="I22" s="25">
        <f>I13*I18</f>
        <v/>
      </c>
      <c r="J22" s="25">
        <f>J13*J18</f>
        <v/>
      </c>
      <c r="K22" s="25">
        <f>K13*K18</f>
        <v/>
      </c>
      <c r="L22" s="25">
        <f>L13*L18</f>
        <v/>
      </c>
      <c r="M22" s="25">
        <f>M13*M18</f>
        <v/>
      </c>
      <c r="N22" s="26">
        <f>SUM(B22:M22)</f>
        <v/>
      </c>
    </row>
    <row r="23">
      <c r="A23" s="19" t="inlineStr">
        <is>
          <t>Gross revenue</t>
        </is>
      </c>
      <c r="B23" s="25">
        <f>SUM(B20:B22)</f>
        <v/>
      </c>
      <c r="C23" s="25">
        <f>SUM(C20:C22)</f>
        <v/>
      </c>
      <c r="D23" s="25">
        <f>SUM(D20:D22)</f>
        <v/>
      </c>
      <c r="E23" s="25">
        <f>SUM(E20:E22)</f>
        <v/>
      </c>
      <c r="F23" s="25">
        <f>SUM(F20:F22)</f>
        <v/>
      </c>
      <c r="G23" s="25">
        <f>SUM(G20:G22)</f>
        <v/>
      </c>
      <c r="H23" s="25">
        <f>SUM(H20:H22)</f>
        <v/>
      </c>
      <c r="I23" s="25">
        <f>SUM(I20:I22)</f>
        <v/>
      </c>
      <c r="J23" s="25">
        <f>SUM(J20:J22)</f>
        <v/>
      </c>
      <c r="K23" s="25">
        <f>SUM(K20:K22)</f>
        <v/>
      </c>
      <c r="L23" s="25">
        <f>SUM(L20:L22)</f>
        <v/>
      </c>
      <c r="M23" s="25">
        <f>SUM(M20:M22)</f>
        <v/>
      </c>
      <c r="N23" s="26">
        <f>SUM(B23:M23)</f>
        <v/>
      </c>
    </row>
    <row r="24">
      <c r="A24" s="22" t="inlineStr">
        <is>
          <t>Less: returns</t>
        </is>
      </c>
      <c r="B24" s="25">
        <f>-B23*'Assumptions'!$B$10</f>
        <v/>
      </c>
      <c r="C24" s="25">
        <f>-C23*'Assumptions'!$B$10</f>
        <v/>
      </c>
      <c r="D24" s="25">
        <f>-D23*'Assumptions'!$B$10</f>
        <v/>
      </c>
      <c r="E24" s="25">
        <f>-E23*'Assumptions'!$B$10</f>
        <v/>
      </c>
      <c r="F24" s="25">
        <f>-F23*'Assumptions'!$B$10</f>
        <v/>
      </c>
      <c r="G24" s="25">
        <f>-G23*'Assumptions'!$B$10</f>
        <v/>
      </c>
      <c r="H24" s="25">
        <f>-H23*'Assumptions'!$B$10</f>
        <v/>
      </c>
      <c r="I24" s="25">
        <f>-I23*'Assumptions'!$B$10</f>
        <v/>
      </c>
      <c r="J24" s="25">
        <f>-J23*'Assumptions'!$B$10</f>
        <v/>
      </c>
      <c r="K24" s="25">
        <f>-K23*'Assumptions'!$B$10</f>
        <v/>
      </c>
      <c r="L24" s="25">
        <f>-L23*'Assumptions'!$B$10</f>
        <v/>
      </c>
      <c r="M24" s="25">
        <f>-M23*'Assumptions'!$B$10</f>
        <v/>
      </c>
      <c r="N24" s="26">
        <f>SUM(B24:M24)</f>
        <v/>
      </c>
    </row>
    <row r="25">
      <c r="A25" s="27" t="inlineStr">
        <is>
          <t>Net revenue</t>
        </is>
      </c>
      <c r="B25" s="28">
        <f>B23+B24</f>
        <v/>
      </c>
      <c r="C25" s="28">
        <f>C23+C24</f>
        <v/>
      </c>
      <c r="D25" s="28">
        <f>D23+D24</f>
        <v/>
      </c>
      <c r="E25" s="28">
        <f>E23+E24</f>
        <v/>
      </c>
      <c r="F25" s="28">
        <f>F23+F24</f>
        <v/>
      </c>
      <c r="G25" s="28">
        <f>G23+G24</f>
        <v/>
      </c>
      <c r="H25" s="28">
        <f>H23+H24</f>
        <v/>
      </c>
      <c r="I25" s="28">
        <f>I23+I24</f>
        <v/>
      </c>
      <c r="J25" s="28">
        <f>J23+J24</f>
        <v/>
      </c>
      <c r="K25" s="28">
        <f>K23+K24</f>
        <v/>
      </c>
      <c r="L25" s="28">
        <f>L23+L24</f>
        <v/>
      </c>
      <c r="M25" s="28">
        <f>M23+M24</f>
        <v/>
      </c>
      <c r="N25" s="29">
        <f>SUM(B25:M25)</f>
        <v/>
      </c>
    </row>
  </sheetData>
  <mergeCells count="6">
    <mergeCell ref="B4:E4"/>
    <mergeCell ref="F4:I4"/>
    <mergeCell ref="A2:N2"/>
    <mergeCell ref="J4:M4"/>
    <mergeCell ref="N4:N5"/>
    <mergeCell ref="A1:N1"/>
  </mergeCells>
  <printOptions horizontalCentered="1"/>
  <pageMargins left="0.75" right="0.75" top="1" bottom="1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tabColor rgb="0016233A"/>
    <outlinePr summaryBelow="1" summaryRight="1"/>
    <pageSetUpPr fitToPage="1"/>
  </sheetPr>
  <dimension ref="A1:P28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  <col width="13" customWidth="1" min="15" max="15"/>
    <col width="13" customWidth="1" min="16" max="16"/>
  </cols>
  <sheetData>
    <row r="1" ht="30" customHeight="1">
      <c r="A1" s="1" t="inlineStr">
        <is>
          <t>Profit &amp; Loss — quarterly with FY subtotals</t>
        </is>
      </c>
    </row>
    <row r="2" ht="16" customHeight="1">
      <c r="A2" s="2" t="inlineStr">
        <is>
          <t>Every line is a live formula. Revenue links to the Revenue build; Payroll links to the Headcount plan. Margins carry RAG conditional formatting.</t>
        </is>
      </c>
    </row>
    <row r="4" ht="15" customHeight="1">
      <c r="A4" s="14" t="inlineStr"/>
      <c r="B4" s="15" t="inlineStr">
        <is>
          <t>Year 1</t>
        </is>
      </c>
      <c r="F4" s="15" t="inlineStr">
        <is>
          <t>Year 2</t>
        </is>
      </c>
      <c r="J4" s="15" t="inlineStr">
        <is>
          <t>Year 3</t>
        </is>
      </c>
      <c r="N4" s="30" t="inlineStr">
        <is>
          <t>FY1</t>
        </is>
      </c>
      <c r="O4" s="30" t="inlineStr">
        <is>
          <t>FY2</t>
        </is>
      </c>
      <c r="P4" s="30" t="inlineStr">
        <is>
          <t>FY3</t>
        </is>
      </c>
    </row>
    <row r="5" ht="16" customHeight="1">
      <c r="A5" s="17" t="inlineStr">
        <is>
          <t>Line item</t>
        </is>
      </c>
      <c r="B5" s="18" t="inlineStr">
        <is>
          <t>Q1 Y1</t>
        </is>
      </c>
      <c r="C5" s="18" t="inlineStr">
        <is>
          <t>Q2 Y1</t>
        </is>
      </c>
      <c r="D5" s="18" t="inlineStr">
        <is>
          <t>Q3 Y1</t>
        </is>
      </c>
      <c r="E5" s="18" t="inlineStr">
        <is>
          <t>Q4 Y1</t>
        </is>
      </c>
      <c r="F5" s="18" t="inlineStr">
        <is>
          <t>Q1 Y2</t>
        </is>
      </c>
      <c r="G5" s="18" t="inlineStr">
        <is>
          <t>Q2 Y2</t>
        </is>
      </c>
      <c r="H5" s="18" t="inlineStr">
        <is>
          <t>Q3 Y2</t>
        </is>
      </c>
      <c r="I5" s="18" t="inlineStr">
        <is>
          <t>Q4 Y2</t>
        </is>
      </c>
      <c r="J5" s="18" t="inlineStr">
        <is>
          <t>Q1 Y3</t>
        </is>
      </c>
      <c r="K5" s="18" t="inlineStr">
        <is>
          <t>Q2 Y3</t>
        </is>
      </c>
      <c r="L5" s="18" t="inlineStr">
        <is>
          <t>Q3 Y3</t>
        </is>
      </c>
      <c r="M5" s="18" t="inlineStr">
        <is>
          <t>Q4 Y3</t>
        </is>
      </c>
    </row>
    <row r="7">
      <c r="A7" s="19" t="inlineStr">
        <is>
          <t>Net revenue</t>
        </is>
      </c>
      <c r="B7" s="25">
        <f>'Revenue build'!B25</f>
        <v/>
      </c>
      <c r="C7" s="25">
        <f>'Revenue build'!C25</f>
        <v/>
      </c>
      <c r="D7" s="25">
        <f>'Revenue build'!D25</f>
        <v/>
      </c>
      <c r="E7" s="25">
        <f>'Revenue build'!E25</f>
        <v/>
      </c>
      <c r="F7" s="25">
        <f>'Revenue build'!F25</f>
        <v/>
      </c>
      <c r="G7" s="25">
        <f>'Revenue build'!G25</f>
        <v/>
      </c>
      <c r="H7" s="25">
        <f>'Revenue build'!H25</f>
        <v/>
      </c>
      <c r="I7" s="25">
        <f>'Revenue build'!I25</f>
        <v/>
      </c>
      <c r="J7" s="25">
        <f>'Revenue build'!J25</f>
        <v/>
      </c>
      <c r="K7" s="25">
        <f>'Revenue build'!K25</f>
        <v/>
      </c>
      <c r="L7" s="25">
        <f>'Revenue build'!L25</f>
        <v/>
      </c>
      <c r="M7" s="25">
        <f>'Revenue build'!M25</f>
        <v/>
      </c>
      <c r="N7" s="26">
        <f>SUM(B7:E7)</f>
        <v/>
      </c>
      <c r="O7" s="26">
        <f>SUM(F7:I7)</f>
        <v/>
      </c>
      <c r="P7" s="26">
        <f>SUM(J7:M7)</f>
        <v/>
      </c>
    </row>
    <row r="8">
      <c r="A8" s="22" t="inlineStr">
        <is>
          <t>Cost of goods sold</t>
        </is>
      </c>
      <c r="B8" s="25">
        <f>B7*'Assumptions'!$B$24</f>
        <v/>
      </c>
      <c r="C8" s="25">
        <f>C7*'Assumptions'!$B$24</f>
        <v/>
      </c>
      <c r="D8" s="25">
        <f>D7*'Assumptions'!$B$24</f>
        <v/>
      </c>
      <c r="E8" s="25">
        <f>E7*'Assumptions'!$B$24</f>
        <v/>
      </c>
      <c r="F8" s="25">
        <f>F7*'Assumptions'!$B$24</f>
        <v/>
      </c>
      <c r="G8" s="25">
        <f>G7*'Assumptions'!$B$24</f>
        <v/>
      </c>
      <c r="H8" s="25">
        <f>H7*'Assumptions'!$B$24</f>
        <v/>
      </c>
      <c r="I8" s="25">
        <f>I7*'Assumptions'!$B$24</f>
        <v/>
      </c>
      <c r="J8" s="25">
        <f>J7*'Assumptions'!$B$24</f>
        <v/>
      </c>
      <c r="K8" s="25">
        <f>K7*'Assumptions'!$B$24</f>
        <v/>
      </c>
      <c r="L8" s="25">
        <f>L7*'Assumptions'!$B$24</f>
        <v/>
      </c>
      <c r="M8" s="25">
        <f>M7*'Assumptions'!$B$24</f>
        <v/>
      </c>
      <c r="N8" s="26">
        <f>SUM(B8:E8)</f>
        <v/>
      </c>
      <c r="O8" s="26">
        <f>SUM(F8:I8)</f>
        <v/>
      </c>
      <c r="P8" s="26">
        <f>SUM(J8:M8)</f>
        <v/>
      </c>
    </row>
    <row r="9">
      <c r="A9" s="31" t="inlineStr">
        <is>
          <t>Gross profit</t>
        </is>
      </c>
      <c r="B9" s="32">
        <f>B7-B8</f>
        <v/>
      </c>
      <c r="C9" s="32">
        <f>C7-C8</f>
        <v/>
      </c>
      <c r="D9" s="32">
        <f>D7-D8</f>
        <v/>
      </c>
      <c r="E9" s="32">
        <f>E7-E8</f>
        <v/>
      </c>
      <c r="F9" s="32">
        <f>F7-F8</f>
        <v/>
      </c>
      <c r="G9" s="32">
        <f>G7-G8</f>
        <v/>
      </c>
      <c r="H9" s="32">
        <f>H7-H8</f>
        <v/>
      </c>
      <c r="I9" s="32">
        <f>I7-I8</f>
        <v/>
      </c>
      <c r="J9" s="32">
        <f>J7-J8</f>
        <v/>
      </c>
      <c r="K9" s="32">
        <f>K7-K8</f>
        <v/>
      </c>
      <c r="L9" s="32">
        <f>L7-L8</f>
        <v/>
      </c>
      <c r="M9" s="32">
        <f>M7-M8</f>
        <v/>
      </c>
      <c r="N9" s="33">
        <f>SUM(B9:E9)</f>
        <v/>
      </c>
      <c r="O9" s="33">
        <f>SUM(F9:I9)</f>
        <v/>
      </c>
      <c r="P9" s="33">
        <f>SUM(J9:M9)</f>
        <v/>
      </c>
    </row>
    <row r="10">
      <c r="A10" s="24" t="inlineStr">
        <is>
          <t>Gross margin %</t>
        </is>
      </c>
      <c r="B10" s="34">
        <f>IF(B7=0,0,B9/B7)</f>
        <v/>
      </c>
      <c r="C10" s="34">
        <f>IF(C7=0,0,C9/C7)</f>
        <v/>
      </c>
      <c r="D10" s="34">
        <f>IF(D7=0,0,D9/D7)</f>
        <v/>
      </c>
      <c r="E10" s="34">
        <f>IF(E7=0,0,E9/E7)</f>
        <v/>
      </c>
      <c r="F10" s="34">
        <f>IF(F7=0,0,F9/F7)</f>
        <v/>
      </c>
      <c r="G10" s="34">
        <f>IF(G7=0,0,G9/G7)</f>
        <v/>
      </c>
      <c r="H10" s="34">
        <f>IF(H7=0,0,H9/H7)</f>
        <v/>
      </c>
      <c r="I10" s="34">
        <f>IF(I7=0,0,I9/I7)</f>
        <v/>
      </c>
      <c r="J10" s="34">
        <f>IF(J7=0,0,J9/J7)</f>
        <v/>
      </c>
      <c r="K10" s="34">
        <f>IF(K7=0,0,K9/K7)</f>
        <v/>
      </c>
      <c r="L10" s="34">
        <f>IF(L7=0,0,L9/L7)</f>
        <v/>
      </c>
      <c r="M10" s="34">
        <f>IF(M7=0,0,M9/M7)</f>
        <v/>
      </c>
      <c r="N10" s="11">
        <f>IF(N7=0,0,N9/N7)</f>
        <v/>
      </c>
      <c r="O10" s="11">
        <f>IF(O7=0,0,O9/O7)</f>
        <v/>
      </c>
      <c r="P10" s="11">
        <f>IF(P7=0,0,P9/P7)</f>
        <v/>
      </c>
    </row>
    <row r="12">
      <c r="A12" s="22" t="inlineStr">
        <is>
          <t>Marketing</t>
        </is>
      </c>
      <c r="B12" s="25">
        <f>B7*'Assumptions'!$B$26</f>
        <v/>
      </c>
      <c r="C12" s="25">
        <f>C7*'Assumptions'!$B$26</f>
        <v/>
      </c>
      <c r="D12" s="25">
        <f>D7*'Assumptions'!$B$26</f>
        <v/>
      </c>
      <c r="E12" s="25">
        <f>E7*'Assumptions'!$B$26</f>
        <v/>
      </c>
      <c r="F12" s="25">
        <f>F7*'Assumptions'!$B$26</f>
        <v/>
      </c>
      <c r="G12" s="25">
        <f>G7*'Assumptions'!$B$26</f>
        <v/>
      </c>
      <c r="H12" s="25">
        <f>H7*'Assumptions'!$B$26</f>
        <v/>
      </c>
      <c r="I12" s="25">
        <f>I7*'Assumptions'!$B$26</f>
        <v/>
      </c>
      <c r="J12" s="25">
        <f>J7*'Assumptions'!$B$26</f>
        <v/>
      </c>
      <c r="K12" s="25">
        <f>K7*'Assumptions'!$B$26</f>
        <v/>
      </c>
      <c r="L12" s="25">
        <f>L7*'Assumptions'!$B$26</f>
        <v/>
      </c>
      <c r="M12" s="25">
        <f>M7*'Assumptions'!$B$26</f>
        <v/>
      </c>
      <c r="N12" s="26">
        <f>SUM(B12:E12)</f>
        <v/>
      </c>
      <c r="O12" s="26">
        <f>SUM(F12:I12)</f>
        <v/>
      </c>
      <c r="P12" s="26">
        <f>SUM(J12:M12)</f>
        <v/>
      </c>
    </row>
    <row r="13">
      <c r="A13" s="22" t="inlineStr">
        <is>
          <t>Fulfilment</t>
        </is>
      </c>
      <c r="B13" s="25">
        <f>B7*'Assumptions'!$B$25</f>
        <v/>
      </c>
      <c r="C13" s="25">
        <f>C7*'Assumptions'!$B$25</f>
        <v/>
      </c>
      <c r="D13" s="25">
        <f>D7*'Assumptions'!$B$25</f>
        <v/>
      </c>
      <c r="E13" s="25">
        <f>E7*'Assumptions'!$B$25</f>
        <v/>
      </c>
      <c r="F13" s="25">
        <f>F7*'Assumptions'!$B$25</f>
        <v/>
      </c>
      <c r="G13" s="25">
        <f>G7*'Assumptions'!$B$25</f>
        <v/>
      </c>
      <c r="H13" s="25">
        <f>H7*'Assumptions'!$B$25</f>
        <v/>
      </c>
      <c r="I13" s="25">
        <f>I7*'Assumptions'!$B$25</f>
        <v/>
      </c>
      <c r="J13" s="25">
        <f>J7*'Assumptions'!$B$25</f>
        <v/>
      </c>
      <c r="K13" s="25">
        <f>K7*'Assumptions'!$B$25</f>
        <v/>
      </c>
      <c r="L13" s="25">
        <f>L7*'Assumptions'!$B$25</f>
        <v/>
      </c>
      <c r="M13" s="25">
        <f>M7*'Assumptions'!$B$25</f>
        <v/>
      </c>
      <c r="N13" s="26">
        <f>SUM(B13:E13)</f>
        <v/>
      </c>
      <c r="O13" s="26">
        <f>SUM(F13:I13)</f>
        <v/>
      </c>
      <c r="P13" s="26">
        <f>SUM(J13:M13)</f>
        <v/>
      </c>
    </row>
    <row r="14">
      <c r="A14" s="22" t="inlineStr">
        <is>
          <t>Payroll</t>
        </is>
      </c>
      <c r="B14" s="25">
        <f>'Headcount'!D17</f>
        <v/>
      </c>
      <c r="C14" s="25">
        <f>'Headcount'!E17</f>
        <v/>
      </c>
      <c r="D14" s="25">
        <f>'Headcount'!F17</f>
        <v/>
      </c>
      <c r="E14" s="25">
        <f>'Headcount'!G17</f>
        <v/>
      </c>
      <c r="F14" s="25">
        <f>'Headcount'!H17</f>
        <v/>
      </c>
      <c r="G14" s="25">
        <f>'Headcount'!I17</f>
        <v/>
      </c>
      <c r="H14" s="25">
        <f>'Headcount'!J17</f>
        <v/>
      </c>
      <c r="I14" s="25">
        <f>'Headcount'!K17</f>
        <v/>
      </c>
      <c r="J14" s="25">
        <f>'Headcount'!L17</f>
        <v/>
      </c>
      <c r="K14" s="25">
        <f>'Headcount'!M17</f>
        <v/>
      </c>
      <c r="L14" s="25">
        <f>'Headcount'!N17</f>
        <v/>
      </c>
      <c r="M14" s="25">
        <f>'Headcount'!O17</f>
        <v/>
      </c>
      <c r="N14" s="26">
        <f>SUM(B14:E14)</f>
        <v/>
      </c>
      <c r="O14" s="26">
        <f>SUM(F14:I14)</f>
        <v/>
      </c>
      <c r="P14" s="26">
        <f>SUM(J14:M14)</f>
        <v/>
      </c>
    </row>
    <row r="15">
      <c r="A15" s="22" t="inlineStr">
        <is>
          <t>Rent &amp; facilities</t>
        </is>
      </c>
      <c r="B15" s="25">
        <f>'Assumptions'!$B$29</f>
        <v/>
      </c>
      <c r="C15" s="25">
        <f>'Assumptions'!$B$29</f>
        <v/>
      </c>
      <c r="D15" s="25">
        <f>'Assumptions'!$B$29</f>
        <v/>
      </c>
      <c r="E15" s="25">
        <f>'Assumptions'!$B$29</f>
        <v/>
      </c>
      <c r="F15" s="25">
        <f>'Assumptions'!$B$29</f>
        <v/>
      </c>
      <c r="G15" s="25">
        <f>'Assumptions'!$B$29</f>
        <v/>
      </c>
      <c r="H15" s="25">
        <f>'Assumptions'!$B$29</f>
        <v/>
      </c>
      <c r="I15" s="25">
        <f>'Assumptions'!$B$29</f>
        <v/>
      </c>
      <c r="J15" s="25">
        <f>'Assumptions'!$B$29</f>
        <v/>
      </c>
      <c r="K15" s="25">
        <f>'Assumptions'!$B$29</f>
        <v/>
      </c>
      <c r="L15" s="25">
        <f>'Assumptions'!$B$29</f>
        <v/>
      </c>
      <c r="M15" s="25">
        <f>'Assumptions'!$B$29</f>
        <v/>
      </c>
      <c r="N15" s="26">
        <f>SUM(B15:E15)</f>
        <v/>
      </c>
      <c r="O15" s="26">
        <f>SUM(F15:I15)</f>
        <v/>
      </c>
      <c r="P15" s="26">
        <f>SUM(J15:M15)</f>
        <v/>
      </c>
    </row>
    <row r="16">
      <c r="A16" s="22" t="inlineStr">
        <is>
          <t>Software &amp; tools</t>
        </is>
      </c>
      <c r="B16" s="25">
        <f>'Assumptions'!$B$30</f>
        <v/>
      </c>
      <c r="C16" s="25">
        <f>'Assumptions'!$B$30</f>
        <v/>
      </c>
      <c r="D16" s="25">
        <f>'Assumptions'!$B$30</f>
        <v/>
      </c>
      <c r="E16" s="25">
        <f>'Assumptions'!$B$30</f>
        <v/>
      </c>
      <c r="F16" s="25">
        <f>'Assumptions'!$B$30</f>
        <v/>
      </c>
      <c r="G16" s="25">
        <f>'Assumptions'!$B$30</f>
        <v/>
      </c>
      <c r="H16" s="25">
        <f>'Assumptions'!$B$30</f>
        <v/>
      </c>
      <c r="I16" s="25">
        <f>'Assumptions'!$B$30</f>
        <v/>
      </c>
      <c r="J16" s="25">
        <f>'Assumptions'!$B$30</f>
        <v/>
      </c>
      <c r="K16" s="25">
        <f>'Assumptions'!$B$30</f>
        <v/>
      </c>
      <c r="L16" s="25">
        <f>'Assumptions'!$B$30</f>
        <v/>
      </c>
      <c r="M16" s="25">
        <f>'Assumptions'!$B$30</f>
        <v/>
      </c>
      <c r="N16" s="26">
        <f>SUM(B16:E16)</f>
        <v/>
      </c>
      <c r="O16" s="26">
        <f>SUM(F16:I16)</f>
        <v/>
      </c>
      <c r="P16" s="26">
        <f>SUM(J16:M16)</f>
        <v/>
      </c>
    </row>
    <row r="17">
      <c r="A17" s="22" t="inlineStr">
        <is>
          <t>Other opex</t>
        </is>
      </c>
      <c r="B17" s="25">
        <f>'Assumptions'!$B$31</f>
        <v/>
      </c>
      <c r="C17" s="25">
        <f>'Assumptions'!$B$31</f>
        <v/>
      </c>
      <c r="D17" s="25">
        <f>'Assumptions'!$B$31</f>
        <v/>
      </c>
      <c r="E17" s="25">
        <f>'Assumptions'!$B$31</f>
        <v/>
      </c>
      <c r="F17" s="25">
        <f>'Assumptions'!$B$31</f>
        <v/>
      </c>
      <c r="G17" s="25">
        <f>'Assumptions'!$B$31</f>
        <v/>
      </c>
      <c r="H17" s="25">
        <f>'Assumptions'!$B$31</f>
        <v/>
      </c>
      <c r="I17" s="25">
        <f>'Assumptions'!$B$31</f>
        <v/>
      </c>
      <c r="J17" s="25">
        <f>'Assumptions'!$B$31</f>
        <v/>
      </c>
      <c r="K17" s="25">
        <f>'Assumptions'!$B$31</f>
        <v/>
      </c>
      <c r="L17" s="25">
        <f>'Assumptions'!$B$31</f>
        <v/>
      </c>
      <c r="M17" s="25">
        <f>'Assumptions'!$B$31</f>
        <v/>
      </c>
      <c r="N17" s="26">
        <f>SUM(B17:E17)</f>
        <v/>
      </c>
      <c r="O17" s="26">
        <f>SUM(F17:I17)</f>
        <v/>
      </c>
      <c r="P17" s="26">
        <f>SUM(J17:M17)</f>
        <v/>
      </c>
    </row>
    <row r="18">
      <c r="A18" s="31" t="inlineStr">
        <is>
          <t>Total operating expense</t>
        </is>
      </c>
      <c r="B18" s="32">
        <f>B12+B13+B14+B15+B16+B17</f>
        <v/>
      </c>
      <c r="C18" s="32">
        <f>C12+C13+C14+C15+C16+C17</f>
        <v/>
      </c>
      <c r="D18" s="32">
        <f>D12+D13+D14+D15+D16+D17</f>
        <v/>
      </c>
      <c r="E18" s="32">
        <f>E12+E13+E14+E15+E16+E17</f>
        <v/>
      </c>
      <c r="F18" s="32">
        <f>F12+F13+F14+F15+F16+F17</f>
        <v/>
      </c>
      <c r="G18" s="32">
        <f>G12+G13+G14+G15+G16+G17</f>
        <v/>
      </c>
      <c r="H18" s="32">
        <f>H12+H13+H14+H15+H16+H17</f>
        <v/>
      </c>
      <c r="I18" s="32">
        <f>I12+I13+I14+I15+I16+I17</f>
        <v/>
      </c>
      <c r="J18" s="32">
        <f>J12+J13+J14+J15+J16+J17</f>
        <v/>
      </c>
      <c r="K18" s="32">
        <f>K12+K13+K14+K15+K16+K17</f>
        <v/>
      </c>
      <c r="L18" s="32">
        <f>L12+L13+L14+L15+L16+L17</f>
        <v/>
      </c>
      <c r="M18" s="32">
        <f>M12+M13+M14+M15+M16+M17</f>
        <v/>
      </c>
      <c r="N18" s="33">
        <f>SUM(B18:E18)</f>
        <v/>
      </c>
      <c r="O18" s="33">
        <f>SUM(F18:I18)</f>
        <v/>
      </c>
      <c r="P18" s="33">
        <f>SUM(J18:M18)</f>
        <v/>
      </c>
    </row>
    <row r="20">
      <c r="A20" s="27" t="inlineStr">
        <is>
          <t>EBITDA</t>
        </is>
      </c>
      <c r="B20" s="28">
        <f>B9-B18</f>
        <v/>
      </c>
      <c r="C20" s="28">
        <f>C9-C18</f>
        <v/>
      </c>
      <c r="D20" s="28">
        <f>D9-D18</f>
        <v/>
      </c>
      <c r="E20" s="28">
        <f>E9-E18</f>
        <v/>
      </c>
      <c r="F20" s="28">
        <f>F9-F18</f>
        <v/>
      </c>
      <c r="G20" s="28">
        <f>G9-G18</f>
        <v/>
      </c>
      <c r="H20" s="28">
        <f>H9-H18</f>
        <v/>
      </c>
      <c r="I20" s="28">
        <f>I9-I18</f>
        <v/>
      </c>
      <c r="J20" s="28">
        <f>J9-J18</f>
        <v/>
      </c>
      <c r="K20" s="28">
        <f>K9-K18</f>
        <v/>
      </c>
      <c r="L20" s="28">
        <f>L9-L18</f>
        <v/>
      </c>
      <c r="M20" s="28">
        <f>M9-M18</f>
        <v/>
      </c>
      <c r="N20" s="29">
        <f>SUM(B20:E20)</f>
        <v/>
      </c>
      <c r="O20" s="29">
        <f>SUM(F20:I20)</f>
        <v/>
      </c>
      <c r="P20" s="29">
        <f>SUM(J20:M20)</f>
        <v/>
      </c>
    </row>
    <row r="21">
      <c r="A21" s="24" t="inlineStr">
        <is>
          <t>EBITDA margin %</t>
        </is>
      </c>
      <c r="B21" s="34">
        <f>IF(B7=0,0,B20/B7)</f>
        <v/>
      </c>
      <c r="C21" s="34">
        <f>IF(C7=0,0,C20/C7)</f>
        <v/>
      </c>
      <c r="D21" s="34">
        <f>IF(D7=0,0,D20/D7)</f>
        <v/>
      </c>
      <c r="E21" s="34">
        <f>IF(E7=0,0,E20/E7)</f>
        <v/>
      </c>
      <c r="F21" s="34">
        <f>IF(F7=0,0,F20/F7)</f>
        <v/>
      </c>
      <c r="G21" s="34">
        <f>IF(G7=0,0,G20/G7)</f>
        <v/>
      </c>
      <c r="H21" s="34">
        <f>IF(H7=0,0,H20/H7)</f>
        <v/>
      </c>
      <c r="I21" s="34">
        <f>IF(I7=0,0,I20/I7)</f>
        <v/>
      </c>
      <c r="J21" s="34">
        <f>IF(J7=0,0,J20/J7)</f>
        <v/>
      </c>
      <c r="K21" s="34">
        <f>IF(K7=0,0,K20/K7)</f>
        <v/>
      </c>
      <c r="L21" s="34">
        <f>IF(L7=0,0,L20/L7)</f>
        <v/>
      </c>
      <c r="M21" s="34">
        <f>IF(M7=0,0,M20/M7)</f>
        <v/>
      </c>
      <c r="N21" s="11">
        <f>IF(N7=0,0,N20/N7)</f>
        <v/>
      </c>
      <c r="O21" s="11">
        <f>IF(O7=0,0,O20/O7)</f>
        <v/>
      </c>
      <c r="P21" s="11">
        <f>IF(P7=0,0,P20/P7)</f>
        <v/>
      </c>
    </row>
    <row r="22">
      <c r="A22" s="22" t="inlineStr">
        <is>
          <t>Depreciation &amp; amortisation</t>
        </is>
      </c>
      <c r="B22" s="25">
        <f>'Assumptions'!$B$32</f>
        <v/>
      </c>
      <c r="C22" s="25">
        <f>'Assumptions'!$B$32</f>
        <v/>
      </c>
      <c r="D22" s="25">
        <f>'Assumptions'!$B$32</f>
        <v/>
      </c>
      <c r="E22" s="25">
        <f>'Assumptions'!$B$32</f>
        <v/>
      </c>
      <c r="F22" s="25">
        <f>'Assumptions'!$B$32</f>
        <v/>
      </c>
      <c r="G22" s="25">
        <f>'Assumptions'!$B$32</f>
        <v/>
      </c>
      <c r="H22" s="25">
        <f>'Assumptions'!$B$32</f>
        <v/>
      </c>
      <c r="I22" s="25">
        <f>'Assumptions'!$B$32</f>
        <v/>
      </c>
      <c r="J22" s="25">
        <f>'Assumptions'!$B$32</f>
        <v/>
      </c>
      <c r="K22" s="25">
        <f>'Assumptions'!$B$32</f>
        <v/>
      </c>
      <c r="L22" s="25">
        <f>'Assumptions'!$B$32</f>
        <v/>
      </c>
      <c r="M22" s="25">
        <f>'Assumptions'!$B$32</f>
        <v/>
      </c>
      <c r="N22" s="26">
        <f>SUM(B22:E22)</f>
        <v/>
      </c>
      <c r="O22" s="26">
        <f>SUM(F22:I22)</f>
        <v/>
      </c>
      <c r="P22" s="26">
        <f>SUM(J22:M22)</f>
        <v/>
      </c>
    </row>
    <row r="23">
      <c r="A23" s="31" t="inlineStr">
        <is>
          <t>EBIT</t>
        </is>
      </c>
      <c r="B23" s="32">
        <f>B20-B22</f>
        <v/>
      </c>
      <c r="C23" s="32">
        <f>C20-C22</f>
        <v/>
      </c>
      <c r="D23" s="32">
        <f>D20-D22</f>
        <v/>
      </c>
      <c r="E23" s="32">
        <f>E20-E22</f>
        <v/>
      </c>
      <c r="F23" s="32">
        <f>F20-F22</f>
        <v/>
      </c>
      <c r="G23" s="32">
        <f>G20-G22</f>
        <v/>
      </c>
      <c r="H23" s="32">
        <f>H20-H22</f>
        <v/>
      </c>
      <c r="I23" s="32">
        <f>I20-I22</f>
        <v/>
      </c>
      <c r="J23" s="32">
        <f>J20-J22</f>
        <v/>
      </c>
      <c r="K23" s="32">
        <f>K20-K22</f>
        <v/>
      </c>
      <c r="L23" s="32">
        <f>L20-L22</f>
        <v/>
      </c>
      <c r="M23" s="32">
        <f>M20-M22</f>
        <v/>
      </c>
      <c r="N23" s="33">
        <f>SUM(B23:E23)</f>
        <v/>
      </c>
      <c r="O23" s="33">
        <f>SUM(F23:I23)</f>
        <v/>
      </c>
      <c r="P23" s="33">
        <f>SUM(J23:M23)</f>
        <v/>
      </c>
    </row>
    <row r="24">
      <c r="A24" s="22" t="inlineStr">
        <is>
          <t>Tax</t>
        </is>
      </c>
      <c r="B24" s="25">
        <f>IF(B23&gt;0,'Assumptions'!$B$35*B23,0)</f>
        <v/>
      </c>
      <c r="C24" s="25">
        <f>IF(C23&gt;0,'Assumptions'!$B$35*C23,0)</f>
        <v/>
      </c>
      <c r="D24" s="25">
        <f>IF(D23&gt;0,'Assumptions'!$B$35*D23,0)</f>
        <v/>
      </c>
      <c r="E24" s="25">
        <f>IF(E23&gt;0,'Assumptions'!$B$35*E23,0)</f>
        <v/>
      </c>
      <c r="F24" s="25">
        <f>IF(F23&gt;0,'Assumptions'!$B$35*F23,0)</f>
        <v/>
      </c>
      <c r="G24" s="25">
        <f>IF(G23&gt;0,'Assumptions'!$B$35*G23,0)</f>
        <v/>
      </c>
      <c r="H24" s="25">
        <f>IF(H23&gt;0,'Assumptions'!$B$35*H23,0)</f>
        <v/>
      </c>
      <c r="I24" s="25">
        <f>IF(I23&gt;0,'Assumptions'!$B$35*I23,0)</f>
        <v/>
      </c>
      <c r="J24" s="25">
        <f>IF(J23&gt;0,'Assumptions'!$B$35*J23,0)</f>
        <v/>
      </c>
      <c r="K24" s="25">
        <f>IF(K23&gt;0,'Assumptions'!$B$35*K23,0)</f>
        <v/>
      </c>
      <c r="L24" s="25">
        <f>IF(L23&gt;0,'Assumptions'!$B$35*L23,0)</f>
        <v/>
      </c>
      <c r="M24" s="25">
        <f>IF(M23&gt;0,'Assumptions'!$B$35*M23,0)</f>
        <v/>
      </c>
      <c r="N24" s="26">
        <f>SUM(B24:E24)</f>
        <v/>
      </c>
      <c r="O24" s="26">
        <f>SUM(F24:I24)</f>
        <v/>
      </c>
      <c r="P24" s="26">
        <f>SUM(J24:M24)</f>
        <v/>
      </c>
    </row>
    <row r="25">
      <c r="A25" s="35" t="inlineStr">
        <is>
          <t>Net income</t>
        </is>
      </c>
      <c r="B25" s="36">
        <f>B23-B24</f>
        <v/>
      </c>
      <c r="C25" s="36">
        <f>C23-C24</f>
        <v/>
      </c>
      <c r="D25" s="36">
        <f>D23-D24</f>
        <v/>
      </c>
      <c r="E25" s="36">
        <f>E23-E24</f>
        <v/>
      </c>
      <c r="F25" s="36">
        <f>F23-F24</f>
        <v/>
      </c>
      <c r="G25" s="36">
        <f>G23-G24</f>
        <v/>
      </c>
      <c r="H25" s="36">
        <f>H23-H24</f>
        <v/>
      </c>
      <c r="I25" s="36">
        <f>I23-I24</f>
        <v/>
      </c>
      <c r="J25" s="36">
        <f>J23-J24</f>
        <v/>
      </c>
      <c r="K25" s="36">
        <f>K23-K24</f>
        <v/>
      </c>
      <c r="L25" s="36">
        <f>L23-L24</f>
        <v/>
      </c>
      <c r="M25" s="36">
        <f>M23-M24</f>
        <v/>
      </c>
      <c r="N25" s="37">
        <f>SUM(B25:E25)</f>
        <v/>
      </c>
      <c r="O25" s="37">
        <f>SUM(F25:I25)</f>
        <v/>
      </c>
      <c r="P25" s="37">
        <f>SUM(J25:M25)</f>
        <v/>
      </c>
    </row>
    <row r="26">
      <c r="A26" s="24" t="inlineStr">
        <is>
          <t>Net margin %</t>
        </is>
      </c>
      <c r="B26" s="34">
        <f>IF(B7=0,0,B25/B7)</f>
        <v/>
      </c>
      <c r="C26" s="34">
        <f>IF(C7=0,0,C25/C7)</f>
        <v/>
      </c>
      <c r="D26" s="34">
        <f>IF(D7=0,0,D25/D7)</f>
        <v/>
      </c>
      <c r="E26" s="34">
        <f>IF(E7=0,0,E25/E7)</f>
        <v/>
      </c>
      <c r="F26" s="34">
        <f>IF(F7=0,0,F25/F7)</f>
        <v/>
      </c>
      <c r="G26" s="34">
        <f>IF(G7=0,0,G25/G7)</f>
        <v/>
      </c>
      <c r="H26" s="34">
        <f>IF(H7=0,0,H25/H7)</f>
        <v/>
      </c>
      <c r="I26" s="34">
        <f>IF(I7=0,0,I25/I7)</f>
        <v/>
      </c>
      <c r="J26" s="34">
        <f>IF(J7=0,0,J25/J7)</f>
        <v/>
      </c>
      <c r="K26" s="34">
        <f>IF(K7=0,0,K25/K7)</f>
        <v/>
      </c>
      <c r="L26" s="34">
        <f>IF(L7=0,0,L25/L7)</f>
        <v/>
      </c>
      <c r="M26" s="34">
        <f>IF(M7=0,0,M25/M7)</f>
        <v/>
      </c>
      <c r="N26" s="11">
        <f>IF(N7=0,0,N25/N7)</f>
        <v/>
      </c>
      <c r="O26" s="11">
        <f>IF(O7=0,0,O25/O7)</f>
        <v/>
      </c>
      <c r="P26" s="11">
        <f>IF(P7=0,0,P25/P7)</f>
        <v/>
      </c>
    </row>
    <row r="28">
      <c r="A28" s="38" t="inlineStr">
        <is>
          <t>TIE CHECK — P&amp;L vs Rev build</t>
        </is>
      </c>
      <c r="B28" s="39">
        <f>SUM(B7:M7)-'Revenue build'!N25</f>
        <v/>
      </c>
      <c r="C28" s="7" t="inlineStr">
        <is>
          <t>must equal 0</t>
        </is>
      </c>
    </row>
  </sheetData>
  <mergeCells count="8">
    <mergeCell ref="B4:E4"/>
    <mergeCell ref="A1:P1"/>
    <mergeCell ref="F4:I4"/>
    <mergeCell ref="J4:M4"/>
    <mergeCell ref="N4:N5"/>
    <mergeCell ref="O4:O5"/>
    <mergeCell ref="P4:P5"/>
    <mergeCell ref="A2:P2"/>
  </mergeCells>
  <conditionalFormatting sqref="B10:P10">
    <cfRule type="cellIs" priority="1" operator="greaterThanOrEqual" dxfId="0">
      <formula>0.55</formula>
    </cfRule>
    <cfRule type="cellIs" priority="2" operator="between" dxfId="1">
      <formula>0.45</formula>
      <formula>0.5499</formula>
    </cfRule>
    <cfRule type="cellIs" priority="3" operator="lessThan" dxfId="2">
      <formula>0.45</formula>
    </cfRule>
  </conditionalFormatting>
  <conditionalFormatting sqref="B21:P21">
    <cfRule type="cellIs" priority="4" operator="greaterThanOrEqual" dxfId="0">
      <formula>0.05</formula>
    </cfRule>
    <cfRule type="cellIs" priority="5" operator="between" dxfId="1">
      <formula>0</formula>
      <formula>0.0499</formula>
    </cfRule>
    <cfRule type="cellIs" priority="6" operator="lessThan" dxfId="2">
      <formula>0</formula>
    </cfRule>
  </conditionalFormatting>
  <conditionalFormatting sqref="B28">
    <cfRule type="expression" priority="7" dxfId="0">
      <formula>ABS(B28)&lt;0.5</formula>
    </cfRule>
    <cfRule type="expression" priority="8" dxfId="2">
      <formula>ABS(B28)&gt;=0.5</formula>
    </cfRule>
  </conditionalFormatting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5B6B82"/>
    <outlinePr summaryBelow="1" summaryRight="1"/>
    <pageSetUpPr fitToPage="1"/>
  </sheetPr>
  <dimension ref="A1:O18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0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</cols>
  <sheetData>
    <row r="1" ht="30" customHeight="1">
      <c r="A1" s="1" t="inlineStr">
        <is>
          <t>Headcount &amp; Payroll Plan</t>
        </is>
      </c>
    </row>
    <row r="2" ht="16" customHeight="1">
      <c r="A2" s="2" t="inlineStr">
        <is>
          <t>Roles, hire quarter and annual salary are inputs. Quarterly payroll = salary/4 × (1 + on-cost loading), switched on from the hire quarter. The total row feeds the P&amp;L payroll line.</t>
        </is>
      </c>
    </row>
    <row r="4" ht="26" customHeight="1">
      <c r="A4" s="40" t="inlineStr">
        <is>
          <t>Role</t>
        </is>
      </c>
      <c r="B4" s="40" t="inlineStr">
        <is>
          <t>Annual salary (€)</t>
        </is>
      </c>
      <c r="C4" s="40" t="inlineStr">
        <is>
          <t>Start Qtr</t>
        </is>
      </c>
      <c r="D4" s="40" t="inlineStr">
        <is>
          <t>Q1 Y1</t>
        </is>
      </c>
      <c r="E4" s="40" t="inlineStr">
        <is>
          <t>Q2 Y1</t>
        </is>
      </c>
      <c r="F4" s="40" t="inlineStr">
        <is>
          <t>Q3 Y1</t>
        </is>
      </c>
      <c r="G4" s="40" t="inlineStr">
        <is>
          <t>Q4 Y1</t>
        </is>
      </c>
      <c r="H4" s="40" t="inlineStr">
        <is>
          <t>Q1 Y2</t>
        </is>
      </c>
      <c r="I4" s="40" t="inlineStr">
        <is>
          <t>Q2 Y2</t>
        </is>
      </c>
      <c r="J4" s="40" t="inlineStr">
        <is>
          <t>Q3 Y2</t>
        </is>
      </c>
      <c r="K4" s="40" t="inlineStr">
        <is>
          <t>Q4 Y2</t>
        </is>
      </c>
      <c r="L4" s="40" t="inlineStr">
        <is>
          <t>Q1 Y3</t>
        </is>
      </c>
      <c r="M4" s="40" t="inlineStr">
        <is>
          <t>Q2 Y3</t>
        </is>
      </c>
      <c r="N4" s="40" t="inlineStr">
        <is>
          <t>Q3 Y3</t>
        </is>
      </c>
      <c r="O4" s="40" t="inlineStr">
        <is>
          <t>Q4 Y3</t>
        </is>
      </c>
    </row>
    <row r="5">
      <c r="A5" s="5" t="inlineStr">
        <is>
          <t>Founder / CEO</t>
        </is>
      </c>
      <c r="B5" s="10" t="n">
        <v>130000</v>
      </c>
      <c r="C5" s="41" t="n">
        <v>1</v>
      </c>
      <c r="D5" s="42">
        <f>IF($C5&lt;=(1),$B5/4*(1+'Assumptions'!$B$38),0)</f>
        <v/>
      </c>
      <c r="E5" s="42">
        <f>IF($C5&lt;=(2),$B5/4*(1+'Assumptions'!$B$38),0)</f>
        <v/>
      </c>
      <c r="F5" s="42">
        <f>IF($C5&lt;=(3),$B5/4*(1+'Assumptions'!$B$38),0)</f>
        <v/>
      </c>
      <c r="G5" s="42">
        <f>IF($C5&lt;=(4),$B5/4*(1+'Assumptions'!$B$38),0)</f>
        <v/>
      </c>
      <c r="H5" s="42">
        <f>IF($C5&lt;=(5),$B5/4*(1+'Assumptions'!$B$38),0)</f>
        <v/>
      </c>
      <c r="I5" s="42">
        <f>IF($C5&lt;=(6),$B5/4*(1+'Assumptions'!$B$38),0)</f>
        <v/>
      </c>
      <c r="J5" s="42">
        <f>IF($C5&lt;=(7),$B5/4*(1+'Assumptions'!$B$38),0)</f>
        <v/>
      </c>
      <c r="K5" s="42">
        <f>IF($C5&lt;=(8),$B5/4*(1+'Assumptions'!$B$38),0)</f>
        <v/>
      </c>
      <c r="L5" s="42">
        <f>IF($C5&lt;=(9),$B5/4*(1+'Assumptions'!$B$38),0)</f>
        <v/>
      </c>
      <c r="M5" s="42">
        <f>IF($C5&lt;=(10),$B5/4*(1+'Assumptions'!$B$38),0)</f>
        <v/>
      </c>
      <c r="N5" s="42">
        <f>IF($C5&lt;=(11),$B5/4*(1+'Assumptions'!$B$38),0)</f>
        <v/>
      </c>
      <c r="O5" s="42">
        <f>IF($C5&lt;=(12),$B5/4*(1+'Assumptions'!$B$38),0)</f>
        <v/>
      </c>
    </row>
    <row r="6">
      <c r="A6" s="5" t="inlineStr">
        <is>
          <t>Head of Brand</t>
        </is>
      </c>
      <c r="B6" s="10" t="n">
        <v>98000</v>
      </c>
      <c r="C6" s="41" t="n">
        <v>1</v>
      </c>
      <c r="D6" s="42">
        <f>IF($C6&lt;=(1),$B6/4*(1+'Assumptions'!$B$38),0)</f>
        <v/>
      </c>
      <c r="E6" s="42">
        <f>IF($C6&lt;=(2),$B6/4*(1+'Assumptions'!$B$38),0)</f>
        <v/>
      </c>
      <c r="F6" s="42">
        <f>IF($C6&lt;=(3),$B6/4*(1+'Assumptions'!$B$38),0)</f>
        <v/>
      </c>
      <c r="G6" s="42">
        <f>IF($C6&lt;=(4),$B6/4*(1+'Assumptions'!$B$38),0)</f>
        <v/>
      </c>
      <c r="H6" s="42">
        <f>IF($C6&lt;=(5),$B6/4*(1+'Assumptions'!$B$38),0)</f>
        <v/>
      </c>
      <c r="I6" s="42">
        <f>IF($C6&lt;=(6),$B6/4*(1+'Assumptions'!$B$38),0)</f>
        <v/>
      </c>
      <c r="J6" s="42">
        <f>IF($C6&lt;=(7),$B6/4*(1+'Assumptions'!$B$38),0)</f>
        <v/>
      </c>
      <c r="K6" s="42">
        <f>IF($C6&lt;=(8),$B6/4*(1+'Assumptions'!$B$38),0)</f>
        <v/>
      </c>
      <c r="L6" s="42">
        <f>IF($C6&lt;=(9),$B6/4*(1+'Assumptions'!$B$38),0)</f>
        <v/>
      </c>
      <c r="M6" s="42">
        <f>IF($C6&lt;=(10),$B6/4*(1+'Assumptions'!$B$38),0)</f>
        <v/>
      </c>
      <c r="N6" s="42">
        <f>IF($C6&lt;=(11),$B6/4*(1+'Assumptions'!$B$38),0)</f>
        <v/>
      </c>
      <c r="O6" s="42">
        <f>IF($C6&lt;=(12),$B6/4*(1+'Assumptions'!$B$38),0)</f>
        <v/>
      </c>
    </row>
    <row r="7">
      <c r="A7" s="5" t="inlineStr">
        <is>
          <t>E-commerce Lead</t>
        </is>
      </c>
      <c r="B7" s="10" t="n">
        <v>88000</v>
      </c>
      <c r="C7" s="41" t="n">
        <v>1</v>
      </c>
      <c r="D7" s="42">
        <f>IF($C7&lt;=(1),$B7/4*(1+'Assumptions'!$B$38),0)</f>
        <v/>
      </c>
      <c r="E7" s="42">
        <f>IF($C7&lt;=(2),$B7/4*(1+'Assumptions'!$B$38),0)</f>
        <v/>
      </c>
      <c r="F7" s="42">
        <f>IF($C7&lt;=(3),$B7/4*(1+'Assumptions'!$B$38),0)</f>
        <v/>
      </c>
      <c r="G7" s="42">
        <f>IF($C7&lt;=(4),$B7/4*(1+'Assumptions'!$B$38),0)</f>
        <v/>
      </c>
      <c r="H7" s="42">
        <f>IF($C7&lt;=(5),$B7/4*(1+'Assumptions'!$B$38),0)</f>
        <v/>
      </c>
      <c r="I7" s="42">
        <f>IF($C7&lt;=(6),$B7/4*(1+'Assumptions'!$B$38),0)</f>
        <v/>
      </c>
      <c r="J7" s="42">
        <f>IF($C7&lt;=(7),$B7/4*(1+'Assumptions'!$B$38),0)</f>
        <v/>
      </c>
      <c r="K7" s="42">
        <f>IF($C7&lt;=(8),$B7/4*(1+'Assumptions'!$B$38),0)</f>
        <v/>
      </c>
      <c r="L7" s="42">
        <f>IF($C7&lt;=(9),$B7/4*(1+'Assumptions'!$B$38),0)</f>
        <v/>
      </c>
      <c r="M7" s="42">
        <f>IF($C7&lt;=(10),$B7/4*(1+'Assumptions'!$B$38),0)</f>
        <v/>
      </c>
      <c r="N7" s="42">
        <f>IF($C7&lt;=(11),$B7/4*(1+'Assumptions'!$B$38),0)</f>
        <v/>
      </c>
      <c r="O7" s="42">
        <f>IF($C7&lt;=(12),$B7/4*(1+'Assumptions'!$B$38),0)</f>
        <v/>
      </c>
    </row>
    <row r="8">
      <c r="A8" s="5" t="inlineStr">
        <is>
          <t>Lead Designer</t>
        </is>
      </c>
      <c r="B8" s="10" t="n">
        <v>82000</v>
      </c>
      <c r="C8" s="41" t="n">
        <v>1</v>
      </c>
      <c r="D8" s="42">
        <f>IF($C8&lt;=(1),$B8/4*(1+'Assumptions'!$B$38),0)</f>
        <v/>
      </c>
      <c r="E8" s="42">
        <f>IF($C8&lt;=(2),$B8/4*(1+'Assumptions'!$B$38),0)</f>
        <v/>
      </c>
      <c r="F8" s="42">
        <f>IF($C8&lt;=(3),$B8/4*(1+'Assumptions'!$B$38),0)</f>
        <v/>
      </c>
      <c r="G8" s="42">
        <f>IF($C8&lt;=(4),$B8/4*(1+'Assumptions'!$B$38),0)</f>
        <v/>
      </c>
      <c r="H8" s="42">
        <f>IF($C8&lt;=(5),$B8/4*(1+'Assumptions'!$B$38),0)</f>
        <v/>
      </c>
      <c r="I8" s="42">
        <f>IF($C8&lt;=(6),$B8/4*(1+'Assumptions'!$B$38),0)</f>
        <v/>
      </c>
      <c r="J8" s="42">
        <f>IF($C8&lt;=(7),$B8/4*(1+'Assumptions'!$B$38),0)</f>
        <v/>
      </c>
      <c r="K8" s="42">
        <f>IF($C8&lt;=(8),$B8/4*(1+'Assumptions'!$B$38),0)</f>
        <v/>
      </c>
      <c r="L8" s="42">
        <f>IF($C8&lt;=(9),$B8/4*(1+'Assumptions'!$B$38),0)</f>
        <v/>
      </c>
      <c r="M8" s="42">
        <f>IF($C8&lt;=(10),$B8/4*(1+'Assumptions'!$B$38),0)</f>
        <v/>
      </c>
      <c r="N8" s="42">
        <f>IF($C8&lt;=(11),$B8/4*(1+'Assumptions'!$B$38),0)</f>
        <v/>
      </c>
      <c r="O8" s="42">
        <f>IF($C8&lt;=(12),$B8/4*(1+'Assumptions'!$B$38),0)</f>
        <v/>
      </c>
    </row>
    <row r="9">
      <c r="A9" s="5" t="inlineStr">
        <is>
          <t>Operations Lead</t>
        </is>
      </c>
      <c r="B9" s="10" t="n">
        <v>74000</v>
      </c>
      <c r="C9" s="41" t="n">
        <v>1</v>
      </c>
      <c r="D9" s="42">
        <f>IF($C9&lt;=(1),$B9/4*(1+'Assumptions'!$B$38),0)</f>
        <v/>
      </c>
      <c r="E9" s="42">
        <f>IF($C9&lt;=(2),$B9/4*(1+'Assumptions'!$B$38),0)</f>
        <v/>
      </c>
      <c r="F9" s="42">
        <f>IF($C9&lt;=(3),$B9/4*(1+'Assumptions'!$B$38),0)</f>
        <v/>
      </c>
      <c r="G9" s="42">
        <f>IF($C9&lt;=(4),$B9/4*(1+'Assumptions'!$B$38),0)</f>
        <v/>
      </c>
      <c r="H9" s="42">
        <f>IF($C9&lt;=(5),$B9/4*(1+'Assumptions'!$B$38),0)</f>
        <v/>
      </c>
      <c r="I9" s="42">
        <f>IF($C9&lt;=(6),$B9/4*(1+'Assumptions'!$B$38),0)</f>
        <v/>
      </c>
      <c r="J9" s="42">
        <f>IF($C9&lt;=(7),$B9/4*(1+'Assumptions'!$B$38),0)</f>
        <v/>
      </c>
      <c r="K9" s="42">
        <f>IF($C9&lt;=(8),$B9/4*(1+'Assumptions'!$B$38),0)</f>
        <v/>
      </c>
      <c r="L9" s="42">
        <f>IF($C9&lt;=(9),$B9/4*(1+'Assumptions'!$B$38),0)</f>
        <v/>
      </c>
      <c r="M9" s="42">
        <f>IF($C9&lt;=(10),$B9/4*(1+'Assumptions'!$B$38),0)</f>
        <v/>
      </c>
      <c r="N9" s="42">
        <f>IF($C9&lt;=(11),$B9/4*(1+'Assumptions'!$B$38),0)</f>
        <v/>
      </c>
      <c r="O9" s="42">
        <f>IF($C9&lt;=(12),$B9/4*(1+'Assumptions'!$B$38),0)</f>
        <v/>
      </c>
    </row>
    <row r="10">
      <c r="A10" s="5" t="inlineStr">
        <is>
          <t>Performance Marketer</t>
        </is>
      </c>
      <c r="B10" s="10" t="n">
        <v>80000</v>
      </c>
      <c r="C10" s="41" t="n">
        <v>1</v>
      </c>
      <c r="D10" s="42">
        <f>IF($C10&lt;=(1),$B10/4*(1+'Assumptions'!$B$38),0)</f>
        <v/>
      </c>
      <c r="E10" s="42">
        <f>IF($C10&lt;=(2),$B10/4*(1+'Assumptions'!$B$38),0)</f>
        <v/>
      </c>
      <c r="F10" s="42">
        <f>IF($C10&lt;=(3),$B10/4*(1+'Assumptions'!$B$38),0)</f>
        <v/>
      </c>
      <c r="G10" s="42">
        <f>IF($C10&lt;=(4),$B10/4*(1+'Assumptions'!$B$38),0)</f>
        <v/>
      </c>
      <c r="H10" s="42">
        <f>IF($C10&lt;=(5),$B10/4*(1+'Assumptions'!$B$38),0)</f>
        <v/>
      </c>
      <c r="I10" s="42">
        <f>IF($C10&lt;=(6),$B10/4*(1+'Assumptions'!$B$38),0)</f>
        <v/>
      </c>
      <c r="J10" s="42">
        <f>IF($C10&lt;=(7),$B10/4*(1+'Assumptions'!$B$38),0)</f>
        <v/>
      </c>
      <c r="K10" s="42">
        <f>IF($C10&lt;=(8),$B10/4*(1+'Assumptions'!$B$38),0)</f>
        <v/>
      </c>
      <c r="L10" s="42">
        <f>IF($C10&lt;=(9),$B10/4*(1+'Assumptions'!$B$38),0)</f>
        <v/>
      </c>
      <c r="M10" s="42">
        <f>IF($C10&lt;=(10),$B10/4*(1+'Assumptions'!$B$38),0)</f>
        <v/>
      </c>
      <c r="N10" s="42">
        <f>IF($C10&lt;=(11),$B10/4*(1+'Assumptions'!$B$38),0)</f>
        <v/>
      </c>
      <c r="O10" s="42">
        <f>IF($C10&lt;=(12),$B10/4*(1+'Assumptions'!$B$38),0)</f>
        <v/>
      </c>
    </row>
    <row r="11">
      <c r="A11" s="5" t="inlineStr">
        <is>
          <t>Customer Care Lead</t>
        </is>
      </c>
      <c r="B11" s="10" t="n">
        <v>44000</v>
      </c>
      <c r="C11" s="41" t="n">
        <v>2</v>
      </c>
      <c r="D11" s="42">
        <f>IF($C11&lt;=(1),$B11/4*(1+'Assumptions'!$B$38),0)</f>
        <v/>
      </c>
      <c r="E11" s="42">
        <f>IF($C11&lt;=(2),$B11/4*(1+'Assumptions'!$B$38),0)</f>
        <v/>
      </c>
      <c r="F11" s="42">
        <f>IF($C11&lt;=(3),$B11/4*(1+'Assumptions'!$B$38),0)</f>
        <v/>
      </c>
      <c r="G11" s="42">
        <f>IF($C11&lt;=(4),$B11/4*(1+'Assumptions'!$B$38),0)</f>
        <v/>
      </c>
      <c r="H11" s="42">
        <f>IF($C11&lt;=(5),$B11/4*(1+'Assumptions'!$B$38),0)</f>
        <v/>
      </c>
      <c r="I11" s="42">
        <f>IF($C11&lt;=(6),$B11/4*(1+'Assumptions'!$B$38),0)</f>
        <v/>
      </c>
      <c r="J11" s="42">
        <f>IF($C11&lt;=(7),$B11/4*(1+'Assumptions'!$B$38),0)</f>
        <v/>
      </c>
      <c r="K11" s="42">
        <f>IF($C11&lt;=(8),$B11/4*(1+'Assumptions'!$B$38),0)</f>
        <v/>
      </c>
      <c r="L11" s="42">
        <f>IF($C11&lt;=(9),$B11/4*(1+'Assumptions'!$B$38),0)</f>
        <v/>
      </c>
      <c r="M11" s="42">
        <f>IF($C11&lt;=(10),$B11/4*(1+'Assumptions'!$B$38),0)</f>
        <v/>
      </c>
      <c r="N11" s="42">
        <f>IF($C11&lt;=(11),$B11/4*(1+'Assumptions'!$B$38),0)</f>
        <v/>
      </c>
      <c r="O11" s="42">
        <f>IF($C11&lt;=(12),$B11/4*(1+'Assumptions'!$B$38),0)</f>
        <v/>
      </c>
    </row>
    <row r="12">
      <c r="A12" s="5" t="inlineStr">
        <is>
          <t>Junior Designer</t>
        </is>
      </c>
      <c r="B12" s="10" t="n">
        <v>56000</v>
      </c>
      <c r="C12" s="41" t="n">
        <v>3</v>
      </c>
      <c r="D12" s="42">
        <f>IF($C12&lt;=(1),$B12/4*(1+'Assumptions'!$B$38),0)</f>
        <v/>
      </c>
      <c r="E12" s="42">
        <f>IF($C12&lt;=(2),$B12/4*(1+'Assumptions'!$B$38),0)</f>
        <v/>
      </c>
      <c r="F12" s="42">
        <f>IF($C12&lt;=(3),$B12/4*(1+'Assumptions'!$B$38),0)</f>
        <v/>
      </c>
      <c r="G12" s="42">
        <f>IF($C12&lt;=(4),$B12/4*(1+'Assumptions'!$B$38),0)</f>
        <v/>
      </c>
      <c r="H12" s="42">
        <f>IF($C12&lt;=(5),$B12/4*(1+'Assumptions'!$B$38),0)</f>
        <v/>
      </c>
      <c r="I12" s="42">
        <f>IF($C12&lt;=(6),$B12/4*(1+'Assumptions'!$B$38),0)</f>
        <v/>
      </c>
      <c r="J12" s="42">
        <f>IF($C12&lt;=(7),$B12/4*(1+'Assumptions'!$B$38),0)</f>
        <v/>
      </c>
      <c r="K12" s="42">
        <f>IF($C12&lt;=(8),$B12/4*(1+'Assumptions'!$B$38),0)</f>
        <v/>
      </c>
      <c r="L12" s="42">
        <f>IF($C12&lt;=(9),$B12/4*(1+'Assumptions'!$B$38),0)</f>
        <v/>
      </c>
      <c r="M12" s="42">
        <f>IF($C12&lt;=(10),$B12/4*(1+'Assumptions'!$B$38),0)</f>
        <v/>
      </c>
      <c r="N12" s="42">
        <f>IF($C12&lt;=(11),$B12/4*(1+'Assumptions'!$B$38),0)</f>
        <v/>
      </c>
      <c r="O12" s="42">
        <f>IF($C12&lt;=(12),$B12/4*(1+'Assumptions'!$B$38),0)</f>
        <v/>
      </c>
    </row>
    <row r="13">
      <c r="A13" s="5" t="inlineStr">
        <is>
          <t>Finance Lead</t>
        </is>
      </c>
      <c r="B13" s="10" t="n">
        <v>92000</v>
      </c>
      <c r="C13" s="41" t="n">
        <v>4</v>
      </c>
      <c r="D13" s="42">
        <f>IF($C13&lt;=(1),$B13/4*(1+'Assumptions'!$B$38),0)</f>
        <v/>
      </c>
      <c r="E13" s="42">
        <f>IF($C13&lt;=(2),$B13/4*(1+'Assumptions'!$B$38),0)</f>
        <v/>
      </c>
      <c r="F13" s="42">
        <f>IF($C13&lt;=(3),$B13/4*(1+'Assumptions'!$B$38),0)</f>
        <v/>
      </c>
      <c r="G13" s="42">
        <f>IF($C13&lt;=(4),$B13/4*(1+'Assumptions'!$B$38),0)</f>
        <v/>
      </c>
      <c r="H13" s="42">
        <f>IF($C13&lt;=(5),$B13/4*(1+'Assumptions'!$B$38),0)</f>
        <v/>
      </c>
      <c r="I13" s="42">
        <f>IF($C13&lt;=(6),$B13/4*(1+'Assumptions'!$B$38),0)</f>
        <v/>
      </c>
      <c r="J13" s="42">
        <f>IF($C13&lt;=(7),$B13/4*(1+'Assumptions'!$B$38),0)</f>
        <v/>
      </c>
      <c r="K13" s="42">
        <f>IF($C13&lt;=(8),$B13/4*(1+'Assumptions'!$B$38),0)</f>
        <v/>
      </c>
      <c r="L13" s="42">
        <f>IF($C13&lt;=(9),$B13/4*(1+'Assumptions'!$B$38),0)</f>
        <v/>
      </c>
      <c r="M13" s="42">
        <f>IF($C13&lt;=(10),$B13/4*(1+'Assumptions'!$B$38),0)</f>
        <v/>
      </c>
      <c r="N13" s="42">
        <f>IF($C13&lt;=(11),$B13/4*(1+'Assumptions'!$B$38),0)</f>
        <v/>
      </c>
      <c r="O13" s="42">
        <f>IF($C13&lt;=(12),$B13/4*(1+'Assumptions'!$B$38),0)</f>
        <v/>
      </c>
    </row>
    <row r="14">
      <c r="A14" s="5" t="inlineStr">
        <is>
          <t>Wholesale Manager</t>
        </is>
      </c>
      <c r="B14" s="10" t="n">
        <v>76000</v>
      </c>
      <c r="C14" s="41" t="n">
        <v>5</v>
      </c>
      <c r="D14" s="42">
        <f>IF($C14&lt;=(1),$B14/4*(1+'Assumptions'!$B$38),0)</f>
        <v/>
      </c>
      <c r="E14" s="42">
        <f>IF($C14&lt;=(2),$B14/4*(1+'Assumptions'!$B$38),0)</f>
        <v/>
      </c>
      <c r="F14" s="42">
        <f>IF($C14&lt;=(3),$B14/4*(1+'Assumptions'!$B$38),0)</f>
        <v/>
      </c>
      <c r="G14" s="42">
        <f>IF($C14&lt;=(4),$B14/4*(1+'Assumptions'!$B$38),0)</f>
        <v/>
      </c>
      <c r="H14" s="42">
        <f>IF($C14&lt;=(5),$B14/4*(1+'Assumptions'!$B$38),0)</f>
        <v/>
      </c>
      <c r="I14" s="42">
        <f>IF($C14&lt;=(6),$B14/4*(1+'Assumptions'!$B$38),0)</f>
        <v/>
      </c>
      <c r="J14" s="42">
        <f>IF($C14&lt;=(7),$B14/4*(1+'Assumptions'!$B$38),0)</f>
        <v/>
      </c>
      <c r="K14" s="42">
        <f>IF($C14&lt;=(8),$B14/4*(1+'Assumptions'!$B$38),0)</f>
        <v/>
      </c>
      <c r="L14" s="42">
        <f>IF($C14&lt;=(9),$B14/4*(1+'Assumptions'!$B$38),0)</f>
        <v/>
      </c>
      <c r="M14" s="42">
        <f>IF($C14&lt;=(10),$B14/4*(1+'Assumptions'!$B$38),0)</f>
        <v/>
      </c>
      <c r="N14" s="42">
        <f>IF($C14&lt;=(11),$B14/4*(1+'Assumptions'!$B$38),0)</f>
        <v/>
      </c>
      <c r="O14" s="42">
        <f>IF($C14&lt;=(12),$B14/4*(1+'Assumptions'!$B$38),0)</f>
        <v/>
      </c>
    </row>
    <row r="15">
      <c r="A15" s="5" t="inlineStr">
        <is>
          <t>Data Analyst</t>
        </is>
      </c>
      <c r="B15" s="10" t="n">
        <v>72000</v>
      </c>
      <c r="C15" s="41" t="n">
        <v>6</v>
      </c>
      <c r="D15" s="42">
        <f>IF($C15&lt;=(1),$B15/4*(1+'Assumptions'!$B$38),0)</f>
        <v/>
      </c>
      <c r="E15" s="42">
        <f>IF($C15&lt;=(2),$B15/4*(1+'Assumptions'!$B$38),0)</f>
        <v/>
      </c>
      <c r="F15" s="42">
        <f>IF($C15&lt;=(3),$B15/4*(1+'Assumptions'!$B$38),0)</f>
        <v/>
      </c>
      <c r="G15" s="42">
        <f>IF($C15&lt;=(4),$B15/4*(1+'Assumptions'!$B$38),0)</f>
        <v/>
      </c>
      <c r="H15" s="42">
        <f>IF($C15&lt;=(5),$B15/4*(1+'Assumptions'!$B$38),0)</f>
        <v/>
      </c>
      <c r="I15" s="42">
        <f>IF($C15&lt;=(6),$B15/4*(1+'Assumptions'!$B$38),0)</f>
        <v/>
      </c>
      <c r="J15" s="42">
        <f>IF($C15&lt;=(7),$B15/4*(1+'Assumptions'!$B$38),0)</f>
        <v/>
      </c>
      <c r="K15" s="42">
        <f>IF($C15&lt;=(8),$B15/4*(1+'Assumptions'!$B$38),0)</f>
        <v/>
      </c>
      <c r="L15" s="42">
        <f>IF($C15&lt;=(9),$B15/4*(1+'Assumptions'!$B$38),0)</f>
        <v/>
      </c>
      <c r="M15" s="42">
        <f>IF($C15&lt;=(10),$B15/4*(1+'Assumptions'!$B$38),0)</f>
        <v/>
      </c>
      <c r="N15" s="42">
        <f>IF($C15&lt;=(11),$B15/4*(1+'Assumptions'!$B$38),0)</f>
        <v/>
      </c>
      <c r="O15" s="42">
        <f>IF($C15&lt;=(12),$B15/4*(1+'Assumptions'!$B$38),0)</f>
        <v/>
      </c>
    </row>
    <row r="16">
      <c r="A16" s="5" t="inlineStr">
        <is>
          <t>Merchandiser</t>
        </is>
      </c>
      <c r="B16" s="10" t="n">
        <v>66000</v>
      </c>
      <c r="C16" s="41" t="n">
        <v>6</v>
      </c>
      <c r="D16" s="42">
        <f>IF($C16&lt;=(1),$B16/4*(1+'Assumptions'!$B$38),0)</f>
        <v/>
      </c>
      <c r="E16" s="42">
        <f>IF($C16&lt;=(2),$B16/4*(1+'Assumptions'!$B$38),0)</f>
        <v/>
      </c>
      <c r="F16" s="42">
        <f>IF($C16&lt;=(3),$B16/4*(1+'Assumptions'!$B$38),0)</f>
        <v/>
      </c>
      <c r="G16" s="42">
        <f>IF($C16&lt;=(4),$B16/4*(1+'Assumptions'!$B$38),0)</f>
        <v/>
      </c>
      <c r="H16" s="42">
        <f>IF($C16&lt;=(5),$B16/4*(1+'Assumptions'!$B$38),0)</f>
        <v/>
      </c>
      <c r="I16" s="42">
        <f>IF($C16&lt;=(6),$B16/4*(1+'Assumptions'!$B$38),0)</f>
        <v/>
      </c>
      <c r="J16" s="42">
        <f>IF($C16&lt;=(7),$B16/4*(1+'Assumptions'!$B$38),0)</f>
        <v/>
      </c>
      <c r="K16" s="42">
        <f>IF($C16&lt;=(8),$B16/4*(1+'Assumptions'!$B$38),0)</f>
        <v/>
      </c>
      <c r="L16" s="42">
        <f>IF($C16&lt;=(9),$B16/4*(1+'Assumptions'!$B$38),0)</f>
        <v/>
      </c>
      <c r="M16" s="42">
        <f>IF($C16&lt;=(10),$B16/4*(1+'Assumptions'!$B$38),0)</f>
        <v/>
      </c>
      <c r="N16" s="42">
        <f>IF($C16&lt;=(11),$B16/4*(1+'Assumptions'!$B$38),0)</f>
        <v/>
      </c>
      <c r="O16" s="42">
        <f>IF($C16&lt;=(12),$B16/4*(1+'Assumptions'!$B$38),0)</f>
        <v/>
      </c>
    </row>
    <row r="17">
      <c r="A17" s="43" t="inlineStr">
        <is>
          <t>Total payroll / quarter</t>
        </is>
      </c>
      <c r="D17" s="44">
        <f>SUM(D5:D16)</f>
        <v/>
      </c>
      <c r="E17" s="44">
        <f>SUM(E5:E16)</f>
        <v/>
      </c>
      <c r="F17" s="44">
        <f>SUM(F5:F16)</f>
        <v/>
      </c>
      <c r="G17" s="44">
        <f>SUM(G5:G16)</f>
        <v/>
      </c>
      <c r="H17" s="44">
        <f>SUM(H5:H16)</f>
        <v/>
      </c>
      <c r="I17" s="44">
        <f>SUM(I5:I16)</f>
        <v/>
      </c>
      <c r="J17" s="44">
        <f>SUM(J5:J16)</f>
        <v/>
      </c>
      <c r="K17" s="44">
        <f>SUM(K5:K16)</f>
        <v/>
      </c>
      <c r="L17" s="44">
        <f>SUM(L5:L16)</f>
        <v/>
      </c>
      <c r="M17" s="44">
        <f>SUM(M5:M16)</f>
        <v/>
      </c>
      <c r="N17" s="44">
        <f>SUM(N5:N16)</f>
        <v/>
      </c>
      <c r="O17" s="44">
        <f>SUM(O5:O16)</f>
        <v/>
      </c>
    </row>
    <row r="18">
      <c r="A18" s="45" t="inlineStr">
        <is>
          <t>Headcount (FTE)</t>
        </is>
      </c>
      <c r="D18" s="46">
        <f>COUNTIF($C5:$C16,"&lt;="&amp;1)</f>
        <v/>
      </c>
      <c r="E18" s="46">
        <f>COUNTIF($C5:$C16,"&lt;="&amp;2)</f>
        <v/>
      </c>
      <c r="F18" s="46">
        <f>COUNTIF($C5:$C16,"&lt;="&amp;3)</f>
        <v/>
      </c>
      <c r="G18" s="46">
        <f>COUNTIF($C5:$C16,"&lt;="&amp;4)</f>
        <v/>
      </c>
      <c r="H18" s="46">
        <f>COUNTIF($C5:$C16,"&lt;="&amp;5)</f>
        <v/>
      </c>
      <c r="I18" s="46">
        <f>COUNTIF($C5:$C16,"&lt;="&amp;6)</f>
        <v/>
      </c>
      <c r="J18" s="46">
        <f>COUNTIF($C5:$C16,"&lt;="&amp;7)</f>
        <v/>
      </c>
      <c r="K18" s="46">
        <f>COUNTIF($C5:$C16,"&lt;="&amp;8)</f>
        <v/>
      </c>
      <c r="L18" s="46">
        <f>COUNTIF($C5:$C16,"&lt;="&amp;9)</f>
        <v/>
      </c>
      <c r="M18" s="46">
        <f>COUNTIF($C5:$C16,"&lt;="&amp;10)</f>
        <v/>
      </c>
      <c r="N18" s="46">
        <f>COUNTIF($C5:$C16,"&lt;="&amp;11)</f>
        <v/>
      </c>
      <c r="O18" s="46">
        <f>COUNTIF($C5:$C16,"&lt;="&amp;12)</f>
        <v/>
      </c>
    </row>
  </sheetData>
  <mergeCells count="2">
    <mergeCell ref="A1:O1"/>
    <mergeCell ref="A2:O2"/>
  </mergeCells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5B6B82"/>
    <outlinePr summaryBelow="1" summaryRight="1"/>
    <pageSetUpPr fitToPage="1"/>
  </sheetPr>
  <dimension ref="A1:M19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 ht="30" customHeight="1">
      <c r="A1" s="1" t="inlineStr">
        <is>
          <t>Cash Flow &amp; Runway</t>
        </is>
      </c>
    </row>
    <row r="2" ht="16" customHeight="1">
      <c r="A2" s="2" t="inlineStr">
        <is>
          <t>Indirect cash flow from the P&amp;L. The closing-cash and runway rows carry red-flag conditional formatting; the model dips through the minimum-cash floor during the FY1–FY2 investment phase, then recovers.</t>
        </is>
      </c>
    </row>
    <row r="5" ht="16" customHeight="1">
      <c r="A5" s="17" t="inlineStr">
        <is>
          <t>Line item</t>
        </is>
      </c>
      <c r="B5" s="18" t="inlineStr">
        <is>
          <t>Q1 Y1</t>
        </is>
      </c>
      <c r="C5" s="18" t="inlineStr">
        <is>
          <t>Q2 Y1</t>
        </is>
      </c>
      <c r="D5" s="18" t="inlineStr">
        <is>
          <t>Q3 Y1</t>
        </is>
      </c>
      <c r="E5" s="18" t="inlineStr">
        <is>
          <t>Q4 Y1</t>
        </is>
      </c>
      <c r="F5" s="18" t="inlineStr">
        <is>
          <t>Q1 Y2</t>
        </is>
      </c>
      <c r="G5" s="18" t="inlineStr">
        <is>
          <t>Q2 Y2</t>
        </is>
      </c>
      <c r="H5" s="18" t="inlineStr">
        <is>
          <t>Q3 Y2</t>
        </is>
      </c>
      <c r="I5" s="18" t="inlineStr">
        <is>
          <t>Q4 Y2</t>
        </is>
      </c>
      <c r="J5" s="18" t="inlineStr">
        <is>
          <t>Q1 Y3</t>
        </is>
      </c>
      <c r="K5" s="18" t="inlineStr">
        <is>
          <t>Q2 Y3</t>
        </is>
      </c>
      <c r="L5" s="18" t="inlineStr">
        <is>
          <t>Q3 Y3</t>
        </is>
      </c>
      <c r="M5" s="18" t="inlineStr">
        <is>
          <t>Q4 Y3</t>
        </is>
      </c>
    </row>
    <row r="7">
      <c r="A7" s="22" t="inlineStr">
        <is>
          <t>Net income</t>
        </is>
      </c>
      <c r="B7" s="25">
        <f>'P&amp;L'!B25</f>
        <v/>
      </c>
      <c r="C7" s="25">
        <f>'P&amp;L'!C25</f>
        <v/>
      </c>
      <c r="D7" s="25">
        <f>'P&amp;L'!D25</f>
        <v/>
      </c>
      <c r="E7" s="25">
        <f>'P&amp;L'!E25</f>
        <v/>
      </c>
      <c r="F7" s="25">
        <f>'P&amp;L'!F25</f>
        <v/>
      </c>
      <c r="G7" s="25">
        <f>'P&amp;L'!G25</f>
        <v/>
      </c>
      <c r="H7" s="25">
        <f>'P&amp;L'!H25</f>
        <v/>
      </c>
      <c r="I7" s="25">
        <f>'P&amp;L'!I25</f>
        <v/>
      </c>
      <c r="J7" s="25">
        <f>'P&amp;L'!J25</f>
        <v/>
      </c>
      <c r="K7" s="25">
        <f>'P&amp;L'!K25</f>
        <v/>
      </c>
      <c r="L7" s="25">
        <f>'P&amp;L'!L25</f>
        <v/>
      </c>
      <c r="M7" s="25">
        <f>'P&amp;L'!M25</f>
        <v/>
      </c>
    </row>
    <row r="8">
      <c r="A8" s="22" t="inlineStr">
        <is>
          <t>add: Depreciation &amp; amortisation</t>
        </is>
      </c>
      <c r="B8" s="25">
        <f>'P&amp;L'!B22</f>
        <v/>
      </c>
      <c r="C8" s="25">
        <f>'P&amp;L'!C22</f>
        <v/>
      </c>
      <c r="D8" s="25">
        <f>'P&amp;L'!D22</f>
        <v/>
      </c>
      <c r="E8" s="25">
        <f>'P&amp;L'!E22</f>
        <v/>
      </c>
      <c r="F8" s="25">
        <f>'P&amp;L'!F22</f>
        <v/>
      </c>
      <c r="G8" s="25">
        <f>'P&amp;L'!G22</f>
        <v/>
      </c>
      <c r="H8" s="25">
        <f>'P&amp;L'!H22</f>
        <v/>
      </c>
      <c r="I8" s="25">
        <f>'P&amp;L'!I22</f>
        <v/>
      </c>
      <c r="J8" s="25">
        <f>'P&amp;L'!J22</f>
        <v/>
      </c>
      <c r="K8" s="25">
        <f>'P&amp;L'!K22</f>
        <v/>
      </c>
      <c r="L8" s="25">
        <f>'P&amp;L'!L22</f>
        <v/>
      </c>
      <c r="M8" s="25">
        <f>'P&amp;L'!M22</f>
        <v/>
      </c>
    </row>
    <row r="9">
      <c r="A9" s="22" t="inlineStr">
        <is>
          <t>less: Capex</t>
        </is>
      </c>
      <c r="B9" s="25">
        <f>-'Assumptions'!$B$37</f>
        <v/>
      </c>
      <c r="C9" s="25">
        <f>-'Assumptions'!$B$37</f>
        <v/>
      </c>
      <c r="D9" s="25">
        <f>-'Assumptions'!$B$37</f>
        <v/>
      </c>
      <c r="E9" s="25">
        <f>-'Assumptions'!$B$37</f>
        <v/>
      </c>
      <c r="F9" s="25">
        <f>-'Assumptions'!$B$37</f>
        <v/>
      </c>
      <c r="G9" s="25">
        <f>-'Assumptions'!$B$37</f>
        <v/>
      </c>
      <c r="H9" s="25">
        <f>-'Assumptions'!$B$37</f>
        <v/>
      </c>
      <c r="I9" s="25">
        <f>-'Assumptions'!$B$37</f>
        <v/>
      </c>
      <c r="J9" s="25">
        <f>-'Assumptions'!$B$37</f>
        <v/>
      </c>
      <c r="K9" s="25">
        <f>-'Assumptions'!$B$37</f>
        <v/>
      </c>
      <c r="L9" s="25">
        <f>-'Assumptions'!$B$37</f>
        <v/>
      </c>
      <c r="M9" s="25">
        <f>-'Assumptions'!$B$37</f>
        <v/>
      </c>
    </row>
    <row r="10">
      <c r="A10" s="24" t="inlineStr">
        <is>
          <t>Δ Net revenue (memo)</t>
        </is>
      </c>
      <c r="B10" s="25">
        <f>'Revenue build'!B25</f>
        <v/>
      </c>
      <c r="C10" s="25">
        <f>'Revenue build'!C25-'Revenue build'!B25</f>
        <v/>
      </c>
      <c r="D10" s="25">
        <f>'Revenue build'!D25-'Revenue build'!C25</f>
        <v/>
      </c>
      <c r="E10" s="25">
        <f>'Revenue build'!E25-'Revenue build'!D25</f>
        <v/>
      </c>
      <c r="F10" s="25">
        <f>'Revenue build'!F25-'Revenue build'!E25</f>
        <v/>
      </c>
      <c r="G10" s="25">
        <f>'Revenue build'!G25-'Revenue build'!F25</f>
        <v/>
      </c>
      <c r="H10" s="25">
        <f>'Revenue build'!H25-'Revenue build'!G25</f>
        <v/>
      </c>
      <c r="I10" s="25">
        <f>'Revenue build'!I25-'Revenue build'!H25</f>
        <v/>
      </c>
      <c r="J10" s="25">
        <f>'Revenue build'!J25-'Revenue build'!I25</f>
        <v/>
      </c>
      <c r="K10" s="25">
        <f>'Revenue build'!K25-'Revenue build'!J25</f>
        <v/>
      </c>
      <c r="L10" s="25">
        <f>'Revenue build'!L25-'Revenue build'!K25</f>
        <v/>
      </c>
      <c r="M10" s="25">
        <f>'Revenue build'!M25-'Revenue build'!L25</f>
        <v/>
      </c>
    </row>
    <row r="11">
      <c r="A11" s="22" t="inlineStr">
        <is>
          <t>less: Working-capital investment</t>
        </is>
      </c>
      <c r="B11" s="25">
        <f>-B10*'Assumptions'!$B$39</f>
        <v/>
      </c>
      <c r="C11" s="25">
        <f>-C10*'Assumptions'!$B$39</f>
        <v/>
      </c>
      <c r="D11" s="25">
        <f>-D10*'Assumptions'!$B$39</f>
        <v/>
      </c>
      <c r="E11" s="25">
        <f>-E10*'Assumptions'!$B$39</f>
        <v/>
      </c>
      <c r="F11" s="25">
        <f>-F10*'Assumptions'!$B$39</f>
        <v/>
      </c>
      <c r="G11" s="25">
        <f>-G10*'Assumptions'!$B$39</f>
        <v/>
      </c>
      <c r="H11" s="25">
        <f>-H10*'Assumptions'!$B$39</f>
        <v/>
      </c>
      <c r="I11" s="25">
        <f>-I10*'Assumptions'!$B$39</f>
        <v/>
      </c>
      <c r="J11" s="25">
        <f>-J10*'Assumptions'!$B$39</f>
        <v/>
      </c>
      <c r="K11" s="25">
        <f>-K10*'Assumptions'!$B$39</f>
        <v/>
      </c>
      <c r="L11" s="25">
        <f>-L10*'Assumptions'!$B$39</f>
        <v/>
      </c>
      <c r="M11" s="25">
        <f>-M10*'Assumptions'!$B$39</f>
        <v/>
      </c>
    </row>
    <row r="12">
      <c r="A12" s="31" t="inlineStr">
        <is>
          <t>Net cash flow</t>
        </is>
      </c>
      <c r="B12" s="32">
        <f>B7+B8+B9+B11</f>
        <v/>
      </c>
      <c r="C12" s="32">
        <f>C7+C8+C9+C11</f>
        <v/>
      </c>
      <c r="D12" s="32">
        <f>D7+D8+D9+D11</f>
        <v/>
      </c>
      <c r="E12" s="32">
        <f>E7+E8+E9+E11</f>
        <v/>
      </c>
      <c r="F12" s="32">
        <f>F7+F8+F9+F11</f>
        <v/>
      </c>
      <c r="G12" s="32">
        <f>G7+G8+G9+G11</f>
        <v/>
      </c>
      <c r="H12" s="32">
        <f>H7+H8+H9+H11</f>
        <v/>
      </c>
      <c r="I12" s="32">
        <f>I7+I8+I9+I11</f>
        <v/>
      </c>
      <c r="J12" s="32">
        <f>J7+J8+J9+J11</f>
        <v/>
      </c>
      <c r="K12" s="32">
        <f>K7+K8+K9+K11</f>
        <v/>
      </c>
      <c r="L12" s="32">
        <f>L7+L8+L9+L11</f>
        <v/>
      </c>
      <c r="M12" s="32">
        <f>M7+M8+M9+M11</f>
        <v/>
      </c>
    </row>
    <row r="14">
      <c r="A14" s="19" t="inlineStr">
        <is>
          <t>Opening cash</t>
        </is>
      </c>
      <c r="B14" s="25">
        <f>'Assumptions'!$B$36</f>
        <v/>
      </c>
      <c r="C14" s="25">
        <f>B15</f>
        <v/>
      </c>
      <c r="D14" s="25">
        <f>C15</f>
        <v/>
      </c>
      <c r="E14" s="25">
        <f>D15</f>
        <v/>
      </c>
      <c r="F14" s="25">
        <f>E15</f>
        <v/>
      </c>
      <c r="G14" s="25">
        <f>F15</f>
        <v/>
      </c>
      <c r="H14" s="25">
        <f>G15</f>
        <v/>
      </c>
      <c r="I14" s="25">
        <f>H15</f>
        <v/>
      </c>
      <c r="J14" s="25">
        <f>I15</f>
        <v/>
      </c>
      <c r="K14" s="25">
        <f>J15</f>
        <v/>
      </c>
      <c r="L14" s="25">
        <f>K15</f>
        <v/>
      </c>
      <c r="M14" s="25">
        <f>L15</f>
        <v/>
      </c>
    </row>
    <row r="15">
      <c r="A15" s="35" t="inlineStr">
        <is>
          <t>Closing cash</t>
        </is>
      </c>
      <c r="B15" s="36">
        <f>B14+B12</f>
        <v/>
      </c>
      <c r="C15" s="36">
        <f>C14+C12</f>
        <v/>
      </c>
      <c r="D15" s="36">
        <f>D14+D12</f>
        <v/>
      </c>
      <c r="E15" s="36">
        <f>E14+E12</f>
        <v/>
      </c>
      <c r="F15" s="36">
        <f>F14+F12</f>
        <v/>
      </c>
      <c r="G15" s="36">
        <f>G14+G12</f>
        <v/>
      </c>
      <c r="H15" s="36">
        <f>H14+H12</f>
        <v/>
      </c>
      <c r="I15" s="36">
        <f>I14+I12</f>
        <v/>
      </c>
      <c r="J15" s="36">
        <f>J14+J12</f>
        <v/>
      </c>
      <c r="K15" s="36">
        <f>K14+K12</f>
        <v/>
      </c>
      <c r="L15" s="36">
        <f>L14+L12</f>
        <v/>
      </c>
      <c r="M15" s="36">
        <f>M14+M12</f>
        <v/>
      </c>
    </row>
    <row r="16">
      <c r="A16" s="22" t="inlineStr">
        <is>
          <t>Quarterly cash burn</t>
        </is>
      </c>
      <c r="B16" s="25">
        <f>MAX(0,-B12)</f>
        <v/>
      </c>
      <c r="C16" s="25">
        <f>MAX(0,-C12)</f>
        <v/>
      </c>
      <c r="D16" s="25">
        <f>MAX(0,-D12)</f>
        <v/>
      </c>
      <c r="E16" s="25">
        <f>MAX(0,-E12)</f>
        <v/>
      </c>
      <c r="F16" s="25">
        <f>MAX(0,-F12)</f>
        <v/>
      </c>
      <c r="G16" s="25">
        <f>MAX(0,-G12)</f>
        <v/>
      </c>
      <c r="H16" s="25">
        <f>MAX(0,-H12)</f>
        <v/>
      </c>
      <c r="I16" s="25">
        <f>MAX(0,-I12)</f>
        <v/>
      </c>
      <c r="J16" s="25">
        <f>MAX(0,-J12)</f>
        <v/>
      </c>
      <c r="K16" s="25">
        <f>MAX(0,-K12)</f>
        <v/>
      </c>
      <c r="L16" s="25">
        <f>MAX(0,-L12)</f>
        <v/>
      </c>
      <c r="M16" s="25">
        <f>MAX(0,-M12)</f>
        <v/>
      </c>
    </row>
    <row r="17">
      <c r="A17" s="19" t="inlineStr">
        <is>
          <t>Runway (months)</t>
        </is>
      </c>
      <c r="B17" s="47">
        <f>IF(B16&lt;=0,"",B15/(B16/3))</f>
        <v/>
      </c>
      <c r="C17" s="47">
        <f>IF(C16&lt;=0,"",C15/(C16/3))</f>
        <v/>
      </c>
      <c r="D17" s="47">
        <f>IF(D16&lt;=0,"",D15/(D16/3))</f>
        <v/>
      </c>
      <c r="E17" s="47">
        <f>IF(E16&lt;=0,"",E15/(E16/3))</f>
        <v/>
      </c>
      <c r="F17" s="47">
        <f>IF(F16&lt;=0,"",F15/(F16/3))</f>
        <v/>
      </c>
      <c r="G17" s="47">
        <f>IF(G16&lt;=0,"",G15/(G16/3))</f>
        <v/>
      </c>
      <c r="H17" s="47">
        <f>IF(H16&lt;=0,"",H15/(H16/3))</f>
        <v/>
      </c>
      <c r="I17" s="47">
        <f>IF(I16&lt;=0,"",I15/(I16/3))</f>
        <v/>
      </c>
      <c r="J17" s="47">
        <f>IF(J16&lt;=0,"",J15/(J16/3))</f>
        <v/>
      </c>
      <c r="K17" s="47">
        <f>IF(K16&lt;=0,"",K15/(K16/3))</f>
        <v/>
      </c>
      <c r="L17" s="47">
        <f>IF(L16&lt;=0,"",L15/(L16/3))</f>
        <v/>
      </c>
      <c r="M17" s="47">
        <f>IF(M16&lt;=0,"",M15/(M16/3))</f>
        <v/>
      </c>
    </row>
    <row r="19">
      <c r="A19" s="38" t="inlineStr">
        <is>
          <t>Min-cash / runway flag</t>
        </is>
      </c>
      <c r="B19" s="48">
        <f>IF(OR(B15&lt;'Assumptions'!$B$42,AND(ISNUMBER(B17),B17&lt;'Assumptions'!$B$43)),"FLAG","OK")</f>
        <v/>
      </c>
      <c r="C19" s="48">
        <f>IF(OR(C15&lt;'Assumptions'!$B$42,AND(ISNUMBER(C17),C17&lt;'Assumptions'!$B$43)),"FLAG","OK")</f>
        <v/>
      </c>
      <c r="D19" s="48">
        <f>IF(OR(D15&lt;'Assumptions'!$B$42,AND(ISNUMBER(D17),D17&lt;'Assumptions'!$B$43)),"FLAG","OK")</f>
        <v/>
      </c>
      <c r="E19" s="48">
        <f>IF(OR(E15&lt;'Assumptions'!$B$42,AND(ISNUMBER(E17),E17&lt;'Assumptions'!$B$43)),"FLAG","OK")</f>
        <v/>
      </c>
      <c r="F19" s="48">
        <f>IF(OR(F15&lt;'Assumptions'!$B$42,AND(ISNUMBER(F17),F17&lt;'Assumptions'!$B$43)),"FLAG","OK")</f>
        <v/>
      </c>
      <c r="G19" s="48">
        <f>IF(OR(G15&lt;'Assumptions'!$B$42,AND(ISNUMBER(G17),G17&lt;'Assumptions'!$B$43)),"FLAG","OK")</f>
        <v/>
      </c>
      <c r="H19" s="48">
        <f>IF(OR(H15&lt;'Assumptions'!$B$42,AND(ISNUMBER(H17),H17&lt;'Assumptions'!$B$43)),"FLAG","OK")</f>
        <v/>
      </c>
      <c r="I19" s="48">
        <f>IF(OR(I15&lt;'Assumptions'!$B$42,AND(ISNUMBER(I17),I17&lt;'Assumptions'!$B$43)),"FLAG","OK")</f>
        <v/>
      </c>
      <c r="J19" s="48">
        <f>IF(OR(J15&lt;'Assumptions'!$B$42,AND(ISNUMBER(J17),J17&lt;'Assumptions'!$B$43)),"FLAG","OK")</f>
        <v/>
      </c>
      <c r="K19" s="48">
        <f>IF(OR(K15&lt;'Assumptions'!$B$42,AND(ISNUMBER(K17),K17&lt;'Assumptions'!$B$43)),"FLAG","OK")</f>
        <v/>
      </c>
      <c r="L19" s="48">
        <f>IF(OR(L15&lt;'Assumptions'!$B$42,AND(ISNUMBER(L17),L17&lt;'Assumptions'!$B$43)),"FLAG","OK")</f>
        <v/>
      </c>
      <c r="M19" s="48">
        <f>IF(OR(M15&lt;'Assumptions'!$B$42,AND(ISNUMBER(M17),M17&lt;'Assumptions'!$B$43)),"FLAG","OK")</f>
        <v/>
      </c>
    </row>
  </sheetData>
  <mergeCells count="2">
    <mergeCell ref="A2:M2"/>
    <mergeCell ref="A1:M1"/>
  </mergeCells>
  <conditionalFormatting sqref="B15:M15">
    <cfRule type="expression" priority="1" dxfId="2">
      <formula>B15&lt;'Assumptions'!$B$42</formula>
    </cfRule>
    <cfRule type="expression" priority="2" dxfId="0">
      <formula>B15&gt;=('Assumptions'!$B$42)*2</formula>
    </cfRule>
  </conditionalFormatting>
  <conditionalFormatting sqref="B17:M17">
    <cfRule type="expression" priority="3" dxfId="2">
      <formula>AND(ISNUMBER(B17),B17&lt;'Assumptions'!$B$43)</formula>
    </cfRule>
  </conditionalFormatting>
  <conditionalFormatting sqref="B19:M19">
    <cfRule type="expression" priority="4" dxfId="3">
      <formula>B19="FLAG"</formula>
    </cfRule>
    <cfRule type="expression" priority="5" dxfId="0">
      <formula>B19="OK"</formula>
    </cfRule>
  </conditionalFormatting>
  <printOptions horizontalCentered="1"/>
  <pageMargins left="0.75" right="0.75" top="1" bottom="1" header="0.5" footer="0.5"/>
  <pageSetup orientation="landscape" fitToHeight="1" fitToWidth="1"/>
</worksheet>
</file>

<file path=xl/worksheets/sheet6.xml><?xml version="1.0" encoding="utf-8"?>
<worksheet xmlns="http://schemas.openxmlformats.org/spreadsheetml/2006/main">
  <sheetPr>
    <tabColor rgb="0016233A"/>
    <outlinePr summaryBelow="1" summaryRight="1"/>
    <pageSetUpPr fitToPage="1"/>
  </sheetPr>
  <dimension ref="A1:L18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 ht="30" customHeight="1">
      <c r="A1" s="49" t="n"/>
    </row>
    <row r="2" ht="30" customHeight="1"/>
    <row r="3" ht="30" customHeight="1"/>
    <row r="4" ht="24" customHeight="1">
      <c r="A4" s="50" t="inlineStr">
        <is>
          <t>Three-Year Plan — Investor Summary</t>
        </is>
      </c>
    </row>
    <row r="5">
      <c r="A5" s="51" t="inlineStr">
        <is>
          <t>All tiles below are live formulas linked to the model. RAG flags mirror the P&amp;L and cash sheets.</t>
        </is>
      </c>
    </row>
    <row r="7" ht="16" customHeight="1">
      <c r="A7" s="52" t="inlineStr">
        <is>
          <t>FY3 NET REVENUE</t>
        </is>
      </c>
      <c r="B7" s="53" t="n"/>
      <c r="C7" s="53" t="n"/>
      <c r="D7" s="53" t="n"/>
      <c r="E7" s="52" t="inlineStr">
        <is>
          <t>FY3 EBITDA</t>
        </is>
      </c>
      <c r="F7" s="53" t="n"/>
      <c r="G7" s="53" t="n"/>
      <c r="H7" s="53" t="n"/>
      <c r="I7" s="54" t="inlineStr">
        <is>
          <t>FY3 EBITDA MARGIN</t>
        </is>
      </c>
      <c r="J7" s="53" t="n"/>
      <c r="K7" s="53" t="n"/>
      <c r="L7" s="53" t="n"/>
    </row>
    <row r="8" ht="22" customHeight="1">
      <c r="A8" s="55">
        <f>'P&amp;L'!P7</f>
        <v/>
      </c>
      <c r="B8" s="53" t="n"/>
      <c r="C8" s="53" t="n"/>
      <c r="D8" s="53" t="n"/>
      <c r="E8" s="55">
        <f>'P&amp;L'!P20</f>
        <v/>
      </c>
      <c r="F8" s="53" t="n"/>
      <c r="G8" s="53" t="n"/>
      <c r="H8" s="53" t="n"/>
      <c r="I8" s="56">
        <f>IF('P&amp;L'!P7=0,0,'P&amp;L'!P20/'P&amp;L'!P7)</f>
        <v/>
      </c>
      <c r="J8" s="53" t="n"/>
      <c r="K8" s="53" t="n"/>
      <c r="L8" s="53" t="n"/>
    </row>
    <row r="9" ht="14" customHeight="1">
      <c r="A9" s="53" t="n"/>
      <c r="B9" s="53" t="n"/>
      <c r="C9" s="53" t="n"/>
      <c r="D9" s="53" t="n"/>
      <c r="E9" s="53" t="n"/>
      <c r="F9" s="53" t="n"/>
      <c r="G9" s="53" t="n"/>
      <c r="H9" s="53" t="n"/>
      <c r="I9" s="53" t="n"/>
      <c r="J9" s="53" t="n"/>
      <c r="K9" s="53" t="n"/>
      <c r="L9" s="53" t="n"/>
    </row>
    <row r="11" ht="16" customHeight="1">
      <c r="A11" s="52" t="inlineStr">
        <is>
          <t>REVENUE CAGR (FY1→FY3)</t>
        </is>
      </c>
      <c r="B11" s="53" t="n"/>
      <c r="C11" s="53" t="n"/>
      <c r="D11" s="53" t="n"/>
      <c r="E11" s="52" t="inlineStr">
        <is>
          <t>ENDING CASH (Q12)</t>
        </is>
      </c>
      <c r="F11" s="53" t="n"/>
      <c r="G11" s="53" t="n"/>
      <c r="H11" s="53" t="n"/>
      <c r="I11" s="57" t="inlineStr">
        <is>
          <t>MINIMUM RUNWAY</t>
        </is>
      </c>
      <c r="J11" s="53" t="n"/>
      <c r="K11" s="53" t="n"/>
      <c r="L11" s="53" t="n"/>
    </row>
    <row r="12" ht="22" customHeight="1">
      <c r="A12" s="56">
        <f>('P&amp;L'!P7/'P&amp;L'!N7)^(1/2)-1</f>
        <v/>
      </c>
      <c r="B12" s="53" t="n"/>
      <c r="C12" s="53" t="n"/>
      <c r="D12" s="53" t="n"/>
      <c r="E12" s="55">
        <f>'Cash &amp; runway'!M15</f>
        <v/>
      </c>
      <c r="F12" s="53" t="n"/>
      <c r="G12" s="53" t="n"/>
      <c r="H12" s="53" t="n"/>
      <c r="I12" s="58">
        <f>MIN('Cash &amp; runway'!B17:M17)</f>
        <v/>
      </c>
      <c r="J12" s="53" t="n"/>
      <c r="K12" s="53" t="n"/>
      <c r="L12" s="53" t="n"/>
    </row>
    <row r="13" ht="14" customHeight="1">
      <c r="A13" s="53" t="n"/>
      <c r="B13" s="53" t="n"/>
      <c r="C13" s="53" t="n"/>
      <c r="D13" s="53" t="n"/>
      <c r="E13" s="53" t="n"/>
      <c r="F13" s="53" t="n"/>
      <c r="G13" s="53" t="n"/>
      <c r="H13" s="53" t="n"/>
      <c r="I13" s="53" t="n"/>
      <c r="J13" s="53" t="n"/>
      <c r="K13" s="53" t="n"/>
      <c r="L13" s="53" t="n"/>
    </row>
    <row r="15">
      <c r="A15" s="59" t="inlineStr">
        <is>
          <t>MODEL INTEGRITY</t>
        </is>
      </c>
      <c r="F15" s="18" t="inlineStr">
        <is>
          <t>Year</t>
        </is>
      </c>
      <c r="G15" s="18" t="inlineStr">
        <is>
          <t>Revenue</t>
        </is>
      </c>
      <c r="H15" s="18" t="inlineStr">
        <is>
          <t>EBITDA</t>
        </is>
      </c>
    </row>
    <row r="16">
      <c r="A16" s="5" t="inlineStr">
        <is>
          <t>Tie check (P&amp;L vs Revenue build)</t>
        </is>
      </c>
      <c r="C16" s="39">
        <f>'P&amp;L'!B28</f>
        <v/>
      </c>
      <c r="F16" s="5" t="inlineStr">
        <is>
          <t>FY1</t>
        </is>
      </c>
      <c r="G16" s="60">
        <f>'P&amp;L'!N7</f>
        <v/>
      </c>
      <c r="H16" s="60">
        <f>'P&amp;L'!N20</f>
        <v/>
      </c>
    </row>
    <row r="17">
      <c r="A17" s="5" t="inlineStr">
        <is>
          <t>Min-cash breach flag</t>
        </is>
      </c>
      <c r="C17" s="61">
        <f>IF(MIN('Cash &amp; runway'!B15:M15)&lt;'Assumptions'!$B$42,"BREACH","OK")</f>
        <v/>
      </c>
      <c r="F17" s="5" t="inlineStr">
        <is>
          <t>FY2</t>
        </is>
      </c>
      <c r="G17" s="60">
        <f>'P&amp;L'!O7</f>
        <v/>
      </c>
      <c r="H17" s="60">
        <f>'P&amp;L'!O20</f>
        <v/>
      </c>
    </row>
    <row r="18">
      <c r="F18" s="5" t="inlineStr">
        <is>
          <t>FY3</t>
        </is>
      </c>
      <c r="G18" s="60">
        <f>'P&amp;L'!P7</f>
        <v/>
      </c>
      <c r="H18" s="60">
        <f>'P&amp;L'!P20</f>
        <v/>
      </c>
    </row>
  </sheetData>
  <mergeCells count="16">
    <mergeCell ref="I8:L9"/>
    <mergeCell ref="A8:D9"/>
    <mergeCell ref="E8:H9"/>
    <mergeCell ref="A5:L5"/>
    <mergeCell ref="A12:D13"/>
    <mergeCell ref="E12:H13"/>
    <mergeCell ref="I12:L13"/>
    <mergeCell ref="A1:L3"/>
    <mergeCell ref="A7:D7"/>
    <mergeCell ref="E7:H7"/>
    <mergeCell ref="A15:D15"/>
    <mergeCell ref="I7:L7"/>
    <mergeCell ref="A11:D11"/>
    <mergeCell ref="E11:H11"/>
    <mergeCell ref="I11:L11"/>
    <mergeCell ref="A4:L4"/>
  </mergeCells>
  <conditionalFormatting sqref="C16">
    <cfRule type="expression" priority="1" dxfId="0">
      <formula>ABS(C16)&lt;0.5</formula>
    </cfRule>
    <cfRule type="expression" priority="2" dxfId="2">
      <formula>ABS(C16)&gt;=0.5</formula>
    </cfRule>
  </conditionalFormatting>
  <conditionalFormatting sqref="C17">
    <cfRule type="expression" priority="3" dxfId="3">
      <formula>C17="BREACH"</formula>
    </cfRule>
    <cfRule type="expression" priority="4" dxfId="0">
      <formula>C17="OK"</formula>
    </cfRule>
  </conditionalFormatting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2026-07-15T08:56:20Z</dcterms:created>
  <dcterms:modified xsi:type="dcterms:W3CDTF">2026-07-15T08:56:20Z</dcterms:modified>
</cp:coreProperties>
</file>