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_rels/workbook.xml.rels" ContentType="application/vnd.openxmlformats-package.relationships+xml"/>
  <Override PartName="/xl/media/image1.png" ContentType="image/png"/>
  <Override PartName="/xl/comments2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uy plan" sheetId="1" state="visible" r:id="rId3"/>
    <sheet name="Budget" sheetId="2" state="visible" r:id="rId4"/>
    <sheet name="Assumptions" sheetId="3" state="visible" r:id="rId5"/>
    <sheet name="Mix check" sheetId="4" state="visible" r:id="rId6"/>
  </sheets>
  <definedNames>
    <definedName function="false" hidden="false" localSheetId="2" name="_xlnm.Print_Area" vbProcedure="false">Assumptions!$A$1:$D$13</definedName>
    <definedName function="false" hidden="false" localSheetId="1" name="_xlnm.Print_Area" vbProcedure="false">Budget!$A$1:$G$19</definedName>
    <definedName function="false" hidden="false" localSheetId="0" name="_xlnm.Print_Area" vbProcedure="false">'Buy plan'!$A$1:$O$34</definedName>
    <definedName function="false" hidden="true" localSheetId="0" name="_xlnm._FilterDatabase" vbProcedure="false">'Buy plan'!$A$4:$O$33</definedName>
    <definedName function="false" hidden="false" localSheetId="3" name="_xlnm.Print_Area" vbProcedure="false">'Mix check'!$A$1:$F$13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3" authorId="0">
      <text>
        <r>
          <rPr>
            <sz val="10"/>
            <rFont val="Arial"/>
            <family val="2"/>
          </rPr>
          <t xml:space="preserve">OTB = Open-To-Buy: the planned budget authorised to spend on stock for the season, phased by month. It must reconcile to the committed style buys (Buy plan Buy Value) by category. A non-zero variance beyond the Assumptions tolerance flags OUT — meaning the buy is over- or under-committed against budget and needs re-planning.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6" authorId="0">
      <text>
        <r>
          <rPr>
            <sz val="10"/>
            <rFont val="Arial"/>
            <family val="2"/>
          </rPr>
          <t xml:space="preserve">Sterling factory costs converted to euro at this rate.</t>
        </r>
      </text>
    </comment>
    <comment ref="C7" authorId="0">
      <text>
        <r>
          <rPr>
            <sz val="10"/>
            <rFont val="Arial"/>
            <family val="2"/>
          </rPr>
          <t xml:space="preserve">Target initial mark-up. Referenced by Mix check blended-IMU control.</t>
        </r>
      </text>
    </comment>
    <comment ref="C8" authorId="0">
      <text>
        <r>
          <rPr>
            <sz val="10"/>
            <rFont val="Arial"/>
            <family val="2"/>
          </rPr>
          <t xml:space="preserve">Blended season markdown assumption used for planning.</t>
        </r>
      </text>
    </comment>
    <comment ref="C9" authorId="0">
      <text>
        <r>
          <rPr>
            <sz val="10"/>
            <rFont val="Arial"/>
            <family val="2"/>
          </rPr>
          <t xml:space="preserve">Landed uplift on FOB cost for inbound freight and duty.</t>
        </r>
      </text>
    </comment>
    <comment ref="C10" authorId="0">
      <text>
        <r>
          <rPr>
            <sz val="10"/>
            <rFont val="Arial"/>
            <family val="2"/>
          </rPr>
          <t xml:space="preserve">OTB reconciles to style buys within this euro tolerance; beyond it the tie-out flag reads OUT.</t>
        </r>
      </text>
    </comment>
    <comment ref="C11" authorId="0">
      <text>
        <r>
          <rPr>
            <sz val="10"/>
            <rFont val="Arial"/>
            <family val="2"/>
          </rPr>
          <t xml:space="preserve">Category mix may deviate from target by this many points before Mix check flags BREACH.</t>
        </r>
      </text>
    </comment>
  </commentList>
</comments>
</file>

<file path=xl/sharedStrings.xml><?xml version="1.0" encoding="utf-8"?>
<sst xmlns="http://schemas.openxmlformats.org/spreadsheetml/2006/main" count="135" uniqueCount="97">
  <si>
    <t xml:space="preserve">HALVARD &amp; VANE</t>
  </si>
  <si>
    <t xml:space="preserve">Pre-Season Buy Plan — AW</t>
  </si>
  <si>
    <t xml:space="preserve">Budget owner: Priya Almquist, Head of Buying</t>
  </si>
  <si>
    <t xml:space="preserve">Option #</t>
  </si>
  <si>
    <t xml:space="preserve">Category</t>
  </si>
  <si>
    <t xml:space="preserve">Description</t>
  </si>
  <si>
    <t xml:space="preserve">Cost (€)</t>
  </si>
  <si>
    <t xml:space="preserve">RRP (€)</t>
  </si>
  <si>
    <t xml:space="preserve">IMU %</t>
  </si>
  <si>
    <t xml:space="preserve">Buy Units</t>
  </si>
  <si>
    <t xml:space="preserve">Buy Value (€)</t>
  </si>
  <si>
    <t xml:space="preserve">Sales Units</t>
  </si>
  <si>
    <t xml:space="preserve">Sales Value (€)</t>
  </si>
  <si>
    <t xml:space="preserve">Sell-Through %</t>
  </si>
  <si>
    <t xml:space="preserve">Markdown %</t>
  </si>
  <si>
    <t xml:space="preserve">Gross Margin (€)</t>
  </si>
  <si>
    <t xml:space="preserve">Gross Margin %</t>
  </si>
  <si>
    <t xml:space="preserve">Buy Value Share</t>
  </si>
  <si>
    <t xml:space="preserve">Outerwear</t>
  </si>
  <si>
    <t xml:space="preserve">Wool-Cashmere Overcoat</t>
  </si>
  <si>
    <t xml:space="preserve">Quilted Down Parka</t>
  </si>
  <si>
    <t xml:space="preserve">Belted Gabardine Trench</t>
  </si>
  <si>
    <t xml:space="preserve">Boiled-Wool Chore Jacket</t>
  </si>
  <si>
    <t xml:space="preserve">Shearling Aviator</t>
  </si>
  <si>
    <t xml:space="preserve">Outerwear subtotal</t>
  </si>
  <si>
    <t xml:space="preserve">Knitwear</t>
  </si>
  <si>
    <t xml:space="preserve">Merino Roll-Neck</t>
  </si>
  <si>
    <t xml:space="preserve">Cable Lambswool Crew</t>
  </si>
  <si>
    <t xml:space="preserve">Alpaca-Blend Cardigan</t>
  </si>
  <si>
    <t xml:space="preserve">Fine-Gauge Turtleneck</t>
  </si>
  <si>
    <t xml:space="preserve">Chunky Shawl Cardigan</t>
  </si>
  <si>
    <t xml:space="preserve">Cashmere V-Neck</t>
  </si>
  <si>
    <t xml:space="preserve">Knitwear subtotal</t>
  </si>
  <si>
    <t xml:space="preserve">Dresses</t>
  </si>
  <si>
    <t xml:space="preserve">Wool-Flannel Midi Dress</t>
  </si>
  <si>
    <t xml:space="preserve">Velvet Slip Dress</t>
  </si>
  <si>
    <t xml:space="preserve">Knitted Column Dress</t>
  </si>
  <si>
    <t xml:space="preserve">Pleated Twill Shirtdress</t>
  </si>
  <si>
    <t xml:space="preserve">Dresses subtotal</t>
  </si>
  <si>
    <t xml:space="preserve">Denim</t>
  </si>
  <si>
    <t xml:space="preserve">High-Rise Straight Jean</t>
  </si>
  <si>
    <t xml:space="preserve">Selvedge Tapered Jean</t>
  </si>
  <si>
    <t xml:space="preserve">Wide-Leg Cropped Jean</t>
  </si>
  <si>
    <t xml:space="preserve">Denim Trucker Jacket</t>
  </si>
  <si>
    <t xml:space="preserve">Denim subtotal</t>
  </si>
  <si>
    <t xml:space="preserve">Accessories</t>
  </si>
  <si>
    <t xml:space="preserve">Ribbed Wool Beanie</t>
  </si>
  <si>
    <t xml:space="preserve">Full-Grain Card Holder</t>
  </si>
  <si>
    <t xml:space="preserve">Woven Cashmere Scarf</t>
  </si>
  <si>
    <t xml:space="preserve">Structured Leather Tote</t>
  </si>
  <si>
    <t xml:space="preserve">Bridle Leather Belt</t>
  </si>
  <si>
    <t xml:space="preserve">Accessories subtotal</t>
  </si>
  <si>
    <t xml:space="preserve">GRAND TOTAL</t>
  </si>
  <si>
    <t xml:space="preserve">HALVARD &amp; VANE  ·  Open-To-Buy by Month × Category — AW</t>
  </si>
  <si>
    <t xml:space="preserve">Planned OTB buy value (€) — reconciles to committed style buys on the Buy plan sheet</t>
  </si>
  <si>
    <t xml:space="preserve">Month</t>
  </si>
  <si>
    <t xml:space="preserve">Total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</si>
  <si>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</si>
  <si>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</si>
  <si>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</si>
  <si>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</si>
  <si>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</si>
  <si>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</si>
  <si>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OTB Total</t>
  </si>
  <si>
    <t xml:space="preserve">TIE-OUT  ·  Plan OTB vs committed style buys</t>
  </si>
  <si>
    <t xml:space="preserve">Plan OTB total (€)</t>
  </si>
  <si>
    <t xml:space="preserve">Style Buy Value (€)</t>
  </si>
  <si>
    <t xml:space="preserve">Variance (€)</t>
  </si>
  <si>
    <t xml:space="preserve">Tie-Out Flag</t>
  </si>
  <si>
    <t xml:space="preserve">HALVARD &amp; VANE  ·  Planning Assumptions &amp; Controls</t>
  </si>
  <si>
    <t xml:space="preserve">Live control panel — cells below are referenced by the Budget and Mix check sheets</t>
  </si>
  <si>
    <t xml:space="preserve">Input</t>
  </si>
  <si>
    <t xml:space="preserve">Value</t>
  </si>
  <si>
    <t xml:space="preserve">Note</t>
  </si>
  <si>
    <t xml:space="preserve">FX rate (GBP → EUR)</t>
  </si>
  <si>
    <t xml:space="preserve">Sterling factory costs converted to euro at this rate.</t>
  </si>
  <si>
    <t xml:space="preserve">Target IMU %</t>
  </si>
  <si>
    <t xml:space="preserve">Target initial mark-up. Referenced by Mix check blended-IMU control.</t>
  </si>
  <si>
    <t xml:space="preserve">Planned season markdown %</t>
  </si>
  <si>
    <t xml:space="preserve">Blended season markdown assumption used for planning.</t>
  </si>
  <si>
    <t xml:space="preserve">Freight &amp; duty %</t>
  </si>
  <si>
    <t xml:space="preserve">Landed uplift on FOB cost for inbound freight and duty.</t>
  </si>
  <si>
    <t xml:space="preserve">Tie-out tolerance (€)</t>
  </si>
  <si>
    <t xml:space="preserve">OTB reconciles to style buys within this euro tolerance; beyond it the tie-out flag reads OUT.</t>
  </si>
  <si>
    <t xml:space="preserve">Mix deviation breach threshold</t>
  </si>
  <si>
    <t xml:space="preserve">Category mix may deviate from target by this many points before Mix check flags BREACH.</t>
  </si>
  <si>
    <t xml:space="preserve">Blue-filled cells are INPUTS. Edit them and the Budget tie-out + Mix check flags recalculate.</t>
  </si>
  <si>
    <t xml:space="preserve">HALVARD &amp; VANE  ·  Category Mix vs Target — AW</t>
  </si>
  <si>
    <t xml:space="preserve">Actual buy-value mix (from Buy plan) against planned target mix — breaches flag red</t>
  </si>
  <si>
    <t xml:space="preserve">Actual Mix %</t>
  </si>
  <si>
    <t xml:space="preserve">Target Mix %</t>
  </si>
  <si>
    <t xml:space="preserve">Deviation</t>
  </si>
  <si>
    <t xml:space="preserve">Breach Flag</t>
  </si>
  <si>
    <t xml:space="preserve">TOTAL</t>
  </si>
  <si>
    <t xml:space="preserve">IMU CONTROL  ·  blended actual vs target</t>
  </si>
  <si>
    <t xml:space="preserve">Blended actual IMU %</t>
  </si>
  <si>
    <t xml:space="preserve">Gap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</si>
</sst>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\€#,##0"/>
    <numFmt numFmtId="167" formatCode="0.0%"/>
    <numFmt numFmtId="168" formatCode="0.0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color rgb="FFFFFFFF"/>
      <name val="Arial Black"/>
      <family val="0"/>
      <charset val="1"/>
    </font>
    <font>
      <b val="true"/>
      <sz val="13"/>
      <color rgb="FF2547D0"/>
      <name val="Calibri"/>
      <family val="0"/>
      <charset val="1"/>
    </font>
    <font>
      <sz val="9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6B6660"/>
      <name val="Calibri"/>
      <family val="0"/>
      <charset val="1"/>
    </font>
    <font>
      <b val="true"/>
      <sz val="10"/>
      <color rgb="FF222222"/>
      <name val="Calibri"/>
      <family val="0"/>
      <charset val="1"/>
    </font>
    <font>
      <sz val="10"/>
      <color rgb="FF222222"/>
      <name val="Calibri"/>
      <family val="0"/>
      <charset val="1"/>
    </font>
    <font>
      <b val="true"/>
      <sz val="10"/>
      <color rgb="FF2547D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4"/>
      <color rgb="FFFFFFFF"/>
      <name val="Arial Black"/>
      <family val="0"/>
      <charset val="1"/>
    </font>
    <font>
      <sz val="10"/>
      <name val="Arial"/>
      <family val="2"/>
    </font>
    <font>
      <b val="true"/>
      <sz val="11"/>
      <color rgb="FF2547D0"/>
      <name val="Calibri"/>
      <family val="0"/>
      <charset val="1"/>
    </font>
    <font>
      <sz val="9"/>
      <color rgb="FF6B666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41414"/>
        <bgColor rgb="FF222222"/>
      </patternFill>
    </fill>
    <fill>
      <patternFill patternType="solid">
        <fgColor rgb="FFFFFFFF"/>
        <bgColor rgb="FFECE9E4"/>
      </patternFill>
    </fill>
    <fill>
      <patternFill patternType="solid">
        <fgColor rgb="FFECE9E4"/>
        <bgColor rgb="FFDDE3F7"/>
      </patternFill>
    </fill>
    <fill>
      <patternFill patternType="solid">
        <fgColor rgb="FF2547D0"/>
        <bgColor rgb="FF3366FF"/>
      </patternFill>
    </fill>
    <fill>
      <patternFill patternType="solid">
        <fgColor rgb="FFDDE3F7"/>
        <bgColor rgb="FFECE9E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141414"/>
      </left>
      <right style="medium">
        <color rgb="FF141414"/>
      </right>
      <top style="medium">
        <color rgb="FF141414"/>
      </top>
      <bottom style="medium">
        <color rgb="FF141414"/>
      </bottom>
      <diagonal/>
    </border>
    <border diagonalUp="false" diagonalDown="false">
      <left style="thin">
        <color rgb="FFC9C4BC"/>
      </left>
      <right style="thin">
        <color rgb="FFC9C4BC"/>
      </right>
      <top style="thin">
        <color rgb="FFC9C4BC"/>
      </top>
      <bottom style="thin">
        <color rgb="FFC9C4B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2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4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9">
    <dxf>
      <fill>
        <patternFill patternType="solid">
          <fgColor rgb="FF141414"/>
          <bgColor rgb="FF000000"/>
        </patternFill>
      </fill>
    </dxf>
    <dxf>
      <fill>
        <patternFill patternType="solid">
          <fgColor rgb="FF2547D0"/>
          <bgColor rgb="FF000000"/>
        </patternFill>
      </fill>
    </dxf>
    <dxf>
      <fill>
        <patternFill patternType="solid">
          <fgColor rgb="FFECE9E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B6660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ont>
        <name val="Calibri"/>
        <charset val="1"/>
        <family val="0"/>
        <b val="1"/>
        <color rgb="FF8A1C12"/>
      </font>
      <fill>
        <patternFill>
          <bgColor rgb="FFF4C7C3"/>
        </patternFill>
      </fill>
    </dxf>
    <dxf>
      <font>
        <name val="Calibri"/>
        <charset val="1"/>
        <family val="0"/>
        <b val="1"/>
        <color rgb="FF1E6B34"/>
      </font>
      <fill>
        <patternFill>
          <bgColor rgb="FFD8ECD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4"/>
      <rgbColor rgb="FF000080"/>
      <rgbColor rgb="FF808000"/>
      <rgbColor rgb="FF800080"/>
      <rgbColor rgb="FF008080"/>
      <rgbColor rgb="FFC9C4BC"/>
      <rgbColor rgb="FF808080"/>
      <rgbColor rgb="FF9999FF"/>
      <rgbColor rgb="FF993366"/>
      <rgbColor rgb="FFECE9E4"/>
      <rgbColor rgb="FFCCFFFF"/>
      <rgbColor rgb="FF660066"/>
      <rgbColor rgb="FFFF8080"/>
      <rgbColor rgb="FF0066CC"/>
      <rgbColor rgb="FFDDE3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ECDD"/>
      <rgbColor rgb="FFFFFF99"/>
      <rgbColor rgb="FF99CCFF"/>
      <rgbColor rgb="FFFF99CC"/>
      <rgbColor rgb="FFCC99FF"/>
      <rgbColor rgb="FFF4C7C3"/>
      <rgbColor rgb="FF3366FF"/>
      <rgbColor rgb="FF33CCCC"/>
      <rgbColor rgb="FF99CC00"/>
      <rgbColor rgb="FFFFCC00"/>
      <rgbColor rgb="FFFF9900"/>
      <rgbColor rgb="FFFF6600"/>
      <rgbColor rgb="FF6B6660"/>
      <rgbColor rgb="FF969696"/>
      <rgbColor rgb="FF003366"/>
      <rgbColor rgb="FF339966"/>
      <rgbColor rgb="FF141414"/>
      <rgbColor rgb="FF333300"/>
      <rgbColor rgb="FF8A1C12"/>
      <rgbColor rgb="FF993366"/>
      <rgbColor rgb="FF2547D0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0</xdr:row>
      <xdr:rowOff>0</xdr:rowOff>
    </xdr:from>
    <xdr:to>
      <xdr:col>13</xdr:col>
      <xdr:colOff>94680</xdr:colOff>
      <xdr:row>1</xdr:row>
      <xdr:rowOff>28440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3690440" y="0"/>
          <a:ext cx="1428480" cy="533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5" min="4" style="0" width="10"/>
    <col collapsed="false" customWidth="true" hidden="false" outlineLevel="0" max="6" min="6" style="0" width="9"/>
    <col collapsed="false" customWidth="true" hidden="false" outlineLevel="0" max="7" min="7" style="0" width="10"/>
    <col collapsed="false" customWidth="true" hidden="false" outlineLevel="0" max="8" min="8" style="0" width="14"/>
    <col collapsed="false" customWidth="true" hidden="false" outlineLevel="0" max="9" min="9" style="0" width="11"/>
    <col collapsed="false" customWidth="true" hidden="false" outlineLevel="0" max="10" min="10" style="0" width="15"/>
    <col collapsed="false" customWidth="true" hidden="false" outlineLevel="0" max="11" min="11" style="0" width="12"/>
    <col collapsed="false" customWidth="true" hidden="false" outlineLevel="0" max="12" min="12" style="0" width="11"/>
    <col collapsed="false" customWidth="true" hidden="false" outlineLevel="0" max="13" min="13" style="0" width="15"/>
    <col collapsed="false" customWidth="true" hidden="false" outlineLevel="0" max="14" min="14" style="0" width="13"/>
    <col collapsed="false" customWidth="true" hidden="false" outlineLevel="0" max="15" min="15" style="0" width="16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8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4" t="str">
        <f aca="true">CONCATENATE("As of ",TEXT(TODAY(),"dd mmm yyyy"))</f>
        <v>As of 15 Jul 2026</v>
      </c>
      <c r="J3" s="4"/>
      <c r="K3" s="4"/>
      <c r="L3" s="4"/>
      <c r="M3" s="4"/>
      <c r="N3" s="4"/>
      <c r="O3" s="4"/>
    </row>
    <row r="4" customFormat="false" ht="33.75" hidden="false" customHeight="tru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customFormat="false" ht="15" hidden="false" customHeight="false" outlineLevel="0" collapsed="false">
      <c r="A5" s="6" t="n">
        <v>1</v>
      </c>
      <c r="B5" s="7" t="s">
        <v>18</v>
      </c>
      <c r="C5" s="8" t="s">
        <v>19</v>
      </c>
      <c r="D5" s="9" t="n">
        <v>118</v>
      </c>
      <c r="E5" s="9" t="n">
        <v>395</v>
      </c>
      <c r="F5" s="10" t="n">
        <f aca="false">1-D5/E5</f>
        <v>0.70126582278481</v>
      </c>
      <c r="G5" s="11" t="n">
        <v>900</v>
      </c>
      <c r="H5" s="12" t="n">
        <f aca="false">D5*G5</f>
        <v>106200</v>
      </c>
      <c r="I5" s="11" t="n">
        <v>760</v>
      </c>
      <c r="J5" s="9" t="n">
        <f aca="false">E5*I5*(1-L5)</f>
        <v>270180</v>
      </c>
      <c r="K5" s="10" t="n">
        <f aca="false">IFERROR(I5/G5,0)</f>
        <v>0.844444444444444</v>
      </c>
      <c r="L5" s="10" t="n">
        <v>0.1</v>
      </c>
      <c r="M5" s="12" t="n">
        <f aca="false">J5-D5*I5</f>
        <v>180500</v>
      </c>
      <c r="N5" s="10" t="n">
        <f aca="false">IFERROR(M5/J5,0)</f>
        <v>0.668073136427567</v>
      </c>
      <c r="O5" s="13" t="n">
        <f aca="false">IFERROR(H5/$H$34,0)</f>
        <v>0.0754582918857468</v>
      </c>
    </row>
    <row r="6" customFormat="false" ht="15" hidden="false" customHeight="false" outlineLevel="0" collapsed="false">
      <c r="A6" s="14" t="n">
        <v>2</v>
      </c>
      <c r="B6" s="15" t="s">
        <v>18</v>
      </c>
      <c r="C6" s="16" t="s">
        <v>20</v>
      </c>
      <c r="D6" s="17" t="n">
        <v>96</v>
      </c>
      <c r="E6" s="17" t="n">
        <v>320</v>
      </c>
      <c r="F6" s="18" t="n">
        <f aca="false">1-D6/E6</f>
        <v>0.7</v>
      </c>
      <c r="G6" s="19" t="n">
        <v>1200</v>
      </c>
      <c r="H6" s="20" t="n">
        <f aca="false">D6*G6</f>
        <v>115200</v>
      </c>
      <c r="I6" s="19" t="n">
        <v>1040</v>
      </c>
      <c r="J6" s="17" t="n">
        <f aca="false">E6*I6*(1-L6)</f>
        <v>282880</v>
      </c>
      <c r="K6" s="18" t="n">
        <f aca="false">IFERROR(I6/G6,0)</f>
        <v>0.866666666666667</v>
      </c>
      <c r="L6" s="18" t="n">
        <v>0.15</v>
      </c>
      <c r="M6" s="20" t="n">
        <f aca="false">J6-D6*I6</f>
        <v>183040</v>
      </c>
      <c r="N6" s="18" t="n">
        <f aca="false">IFERROR(M6/J6,0)</f>
        <v>0.647058823529412</v>
      </c>
      <c r="O6" s="21" t="n">
        <f aca="false">IFERROR(H6/$H$34,0)</f>
        <v>0.0818530623845389</v>
      </c>
    </row>
    <row r="7" customFormat="false" ht="15" hidden="false" customHeight="false" outlineLevel="0" collapsed="false">
      <c r="A7" s="6" t="n">
        <v>3</v>
      </c>
      <c r="B7" s="7" t="s">
        <v>18</v>
      </c>
      <c r="C7" s="8" t="s">
        <v>21</v>
      </c>
      <c r="D7" s="9" t="n">
        <v>84</v>
      </c>
      <c r="E7" s="9" t="n">
        <v>285</v>
      </c>
      <c r="F7" s="10" t="n">
        <f aca="false">1-D7/E7</f>
        <v>0.705263157894737</v>
      </c>
      <c r="G7" s="11" t="n">
        <v>700</v>
      </c>
      <c r="H7" s="12" t="n">
        <f aca="false">D7*G7</f>
        <v>58800</v>
      </c>
      <c r="I7" s="11" t="n">
        <v>560</v>
      </c>
      <c r="J7" s="9" t="n">
        <f aca="false">E7*I7*(1-L7)</f>
        <v>127680</v>
      </c>
      <c r="K7" s="10" t="n">
        <f aca="false">IFERROR(I7/G7,0)</f>
        <v>0.8</v>
      </c>
      <c r="L7" s="10" t="n">
        <v>0.2</v>
      </c>
      <c r="M7" s="12" t="n">
        <f aca="false">J7-D7*I7</f>
        <v>80640</v>
      </c>
      <c r="N7" s="10" t="n">
        <f aca="false">IFERROR(M7/J7,0)</f>
        <v>0.631578947368421</v>
      </c>
      <c r="O7" s="13" t="n">
        <f aca="false">IFERROR(H7/$H$34,0)</f>
        <v>0.0417791672587751</v>
      </c>
    </row>
    <row r="8" customFormat="false" ht="15" hidden="false" customHeight="false" outlineLevel="0" collapsed="false">
      <c r="A8" s="14" t="n">
        <v>4</v>
      </c>
      <c r="B8" s="15" t="s">
        <v>18</v>
      </c>
      <c r="C8" s="16" t="s">
        <v>22</v>
      </c>
      <c r="D8" s="17" t="n">
        <v>62</v>
      </c>
      <c r="E8" s="17" t="n">
        <v>210</v>
      </c>
      <c r="F8" s="18" t="n">
        <f aca="false">1-D8/E8</f>
        <v>0.704761904761905</v>
      </c>
      <c r="G8" s="19" t="n">
        <v>1100</v>
      </c>
      <c r="H8" s="20" t="n">
        <f aca="false">D8*G8</f>
        <v>68200</v>
      </c>
      <c r="I8" s="19" t="n">
        <v>935</v>
      </c>
      <c r="J8" s="17" t="n">
        <f aca="false">E8*I8*(1-L8)</f>
        <v>176715</v>
      </c>
      <c r="K8" s="18" t="n">
        <f aca="false">IFERROR(I8/G8,0)</f>
        <v>0.85</v>
      </c>
      <c r="L8" s="18" t="n">
        <v>0.1</v>
      </c>
      <c r="M8" s="20" t="n">
        <f aca="false">J8-D8*I8</f>
        <v>118745</v>
      </c>
      <c r="N8" s="18" t="n">
        <f aca="false">IFERROR(M8/J8,0)</f>
        <v>0.671957671957672</v>
      </c>
      <c r="O8" s="21" t="n">
        <f aca="false">IFERROR(H8/$H$34,0)</f>
        <v>0.0484581497797357</v>
      </c>
    </row>
    <row r="9" customFormat="false" ht="15" hidden="false" customHeight="false" outlineLevel="0" collapsed="false">
      <c r="A9" s="6" t="n">
        <v>5</v>
      </c>
      <c r="B9" s="7" t="s">
        <v>18</v>
      </c>
      <c r="C9" s="8" t="s">
        <v>23</v>
      </c>
      <c r="D9" s="9" t="n">
        <v>132</v>
      </c>
      <c r="E9" s="9" t="n">
        <v>430</v>
      </c>
      <c r="F9" s="10" t="n">
        <f aca="false">1-D9/E9</f>
        <v>0.693023255813954</v>
      </c>
      <c r="G9" s="11" t="n">
        <v>450</v>
      </c>
      <c r="H9" s="12" t="n">
        <f aca="false">D9*G9</f>
        <v>59400</v>
      </c>
      <c r="I9" s="11" t="n">
        <v>360</v>
      </c>
      <c r="J9" s="9" t="n">
        <f aca="false">E9*I9*(1-L9)</f>
        <v>116100</v>
      </c>
      <c r="K9" s="10" t="n">
        <f aca="false">IFERROR(I9/G9,0)</f>
        <v>0.8</v>
      </c>
      <c r="L9" s="10" t="n">
        <v>0.25</v>
      </c>
      <c r="M9" s="12" t="n">
        <f aca="false">J9-D9*I9</f>
        <v>68580</v>
      </c>
      <c r="N9" s="10" t="n">
        <f aca="false">IFERROR(M9/J9,0)</f>
        <v>0.590697674418605</v>
      </c>
      <c r="O9" s="13" t="n">
        <f aca="false">IFERROR(H9/$H$34,0)</f>
        <v>0.0422054852920279</v>
      </c>
    </row>
    <row r="10" customFormat="false" ht="18" hidden="false" customHeight="true" outlineLevel="0" collapsed="false">
      <c r="A10" s="22"/>
      <c r="B10" s="22"/>
      <c r="C10" s="23" t="s">
        <v>24</v>
      </c>
      <c r="D10" s="22"/>
      <c r="E10" s="22"/>
      <c r="F10" s="24" t="n">
        <f aca="false">IFERROR(1-SUMPRODUCT(($B$5:$B$33="Outerwear")*$D$5:$D$33*$G$5:$G$33)/SUMPRODUCT(($B$5:$B$33="Outerwear")*$E$5:$E$33*$G$5:$G$33),0)</f>
        <v>0.700916758342501</v>
      </c>
      <c r="G10" s="25" t="n">
        <f aca="false">SUMIFS($G$5:$G$33,$B$5:$B$33,"Outerwear")</f>
        <v>4350</v>
      </c>
      <c r="H10" s="26" t="n">
        <f aca="false">SUMIFS($H$5:$H$33,$B$5:$B$33,"Outerwear")</f>
        <v>407800</v>
      </c>
      <c r="I10" s="25" t="n">
        <f aca="false">SUMIFS($I$5:$I$33,$B$5:$B$33,"Outerwear")</f>
        <v>3655</v>
      </c>
      <c r="J10" s="26" t="n">
        <f aca="false">SUMIFS($J$5:$J$33,$B$5:$B$33,"Outerwear")</f>
        <v>973555</v>
      </c>
      <c r="K10" s="24" t="n">
        <f aca="false">IFERROR(I10/G10,0)</f>
        <v>0.840229885057471</v>
      </c>
      <c r="L10" s="22"/>
      <c r="M10" s="26" t="n">
        <f aca="false">SUMIFS($M$5:$M$33,$B$5:$B$33,"Outerwear")</f>
        <v>631505</v>
      </c>
      <c r="N10" s="24" t="n">
        <f aca="false">IFERROR(M10/J10,0)</f>
        <v>0.648658781476136</v>
      </c>
      <c r="O10" s="24" t="n">
        <f aca="false">IFERROR(H10/$H$34,0)</f>
        <v>0.289754156600824</v>
      </c>
    </row>
    <row r="11" customFormat="false" ht="15" hidden="false" customHeight="false" outlineLevel="0" collapsed="false">
      <c r="A11" s="14" t="n">
        <v>6</v>
      </c>
      <c r="B11" s="15" t="s">
        <v>25</v>
      </c>
      <c r="C11" s="16" t="s">
        <v>26</v>
      </c>
      <c r="D11" s="17" t="n">
        <v>26</v>
      </c>
      <c r="E11" s="17" t="n">
        <v>85</v>
      </c>
      <c r="F11" s="18" t="n">
        <f aca="false">1-D11/E11</f>
        <v>0.694117647058824</v>
      </c>
      <c r="G11" s="19" t="n">
        <v>2600</v>
      </c>
      <c r="H11" s="20" t="n">
        <f aca="false">D11*G11</f>
        <v>67600</v>
      </c>
      <c r="I11" s="19" t="n">
        <v>2340</v>
      </c>
      <c r="J11" s="17" t="n">
        <f aca="false">E11*I11*(1-L11)</f>
        <v>188955</v>
      </c>
      <c r="K11" s="18" t="n">
        <f aca="false">IFERROR(I11/G11,0)</f>
        <v>0.9</v>
      </c>
      <c r="L11" s="18" t="n">
        <v>0.05</v>
      </c>
      <c r="M11" s="20" t="n">
        <f aca="false">J11-D11*I11</f>
        <v>128115</v>
      </c>
      <c r="N11" s="18" t="n">
        <f aca="false">IFERROR(M11/J11,0)</f>
        <v>0.678018575851393</v>
      </c>
      <c r="O11" s="21" t="n">
        <f aca="false">IFERROR(H11/$H$34,0)</f>
        <v>0.0480318317464829</v>
      </c>
    </row>
    <row r="12" customFormat="false" ht="15" hidden="false" customHeight="false" outlineLevel="0" collapsed="false">
      <c r="A12" s="6" t="n">
        <v>7</v>
      </c>
      <c r="B12" s="7" t="s">
        <v>25</v>
      </c>
      <c r="C12" s="8" t="s">
        <v>27</v>
      </c>
      <c r="D12" s="9" t="n">
        <v>34</v>
      </c>
      <c r="E12" s="9" t="n">
        <v>115</v>
      </c>
      <c r="F12" s="10" t="n">
        <f aca="false">1-D12/E12</f>
        <v>0.704347826086957</v>
      </c>
      <c r="G12" s="11" t="n">
        <v>2100</v>
      </c>
      <c r="H12" s="12" t="n">
        <f aca="false">D12*G12</f>
        <v>71400</v>
      </c>
      <c r="I12" s="11" t="n">
        <v>1785</v>
      </c>
      <c r="J12" s="9" t="n">
        <f aca="false">E12*I12*(1-L12)</f>
        <v>184747.5</v>
      </c>
      <c r="K12" s="10" t="n">
        <f aca="false">IFERROR(I12/G12,0)</f>
        <v>0.85</v>
      </c>
      <c r="L12" s="10" t="n">
        <v>0.1</v>
      </c>
      <c r="M12" s="12" t="n">
        <f aca="false">J12-D12*I12</f>
        <v>124057.5</v>
      </c>
      <c r="N12" s="10" t="n">
        <f aca="false">IFERROR(M12/J12,0)</f>
        <v>0.671497584541063</v>
      </c>
      <c r="O12" s="13" t="n">
        <f aca="false">IFERROR(H12/$H$34,0)</f>
        <v>0.050731845957084</v>
      </c>
    </row>
    <row r="13" customFormat="false" ht="15" hidden="false" customHeight="false" outlineLevel="0" collapsed="false">
      <c r="A13" s="14" t="n">
        <v>8</v>
      </c>
      <c r="B13" s="15" t="s">
        <v>25</v>
      </c>
      <c r="C13" s="16" t="s">
        <v>28</v>
      </c>
      <c r="D13" s="17" t="n">
        <v>48</v>
      </c>
      <c r="E13" s="17" t="n">
        <v>165</v>
      </c>
      <c r="F13" s="18" t="n">
        <f aca="false">1-D13/E13</f>
        <v>0.709090909090909</v>
      </c>
      <c r="G13" s="19" t="n">
        <v>1400</v>
      </c>
      <c r="H13" s="20" t="n">
        <f aca="false">D13*G13</f>
        <v>67200</v>
      </c>
      <c r="I13" s="19" t="n">
        <v>1120</v>
      </c>
      <c r="J13" s="17" t="n">
        <f aca="false">E13*I13*(1-L13)</f>
        <v>157080</v>
      </c>
      <c r="K13" s="18" t="n">
        <f aca="false">IFERROR(I13/G13,0)</f>
        <v>0.8</v>
      </c>
      <c r="L13" s="18" t="n">
        <v>0.15</v>
      </c>
      <c r="M13" s="20" t="n">
        <f aca="false">J13-D13*I13</f>
        <v>103320</v>
      </c>
      <c r="N13" s="18" t="n">
        <f aca="false">IFERROR(M13/J13,0)</f>
        <v>0.657754010695187</v>
      </c>
      <c r="O13" s="21" t="n">
        <f aca="false">IFERROR(H13/$H$34,0)</f>
        <v>0.0477476197243143</v>
      </c>
    </row>
    <row r="14" customFormat="false" ht="15" hidden="false" customHeight="false" outlineLevel="0" collapsed="false">
      <c r="A14" s="6" t="n">
        <v>9</v>
      </c>
      <c r="B14" s="7" t="s">
        <v>25</v>
      </c>
      <c r="C14" s="8" t="s">
        <v>29</v>
      </c>
      <c r="D14" s="9" t="n">
        <v>22</v>
      </c>
      <c r="E14" s="9" t="n">
        <v>72</v>
      </c>
      <c r="F14" s="10" t="n">
        <f aca="false">1-D14/E14</f>
        <v>0.694444444444444</v>
      </c>
      <c r="G14" s="11" t="n">
        <v>3000</v>
      </c>
      <c r="H14" s="12" t="n">
        <f aca="false">D14*G14</f>
        <v>66000</v>
      </c>
      <c r="I14" s="11" t="n">
        <v>2790</v>
      </c>
      <c r="J14" s="9" t="n">
        <f aca="false">E14*I14*(1-L14)</f>
        <v>190836</v>
      </c>
      <c r="K14" s="10" t="n">
        <f aca="false">IFERROR(I14/G14,0)</f>
        <v>0.93</v>
      </c>
      <c r="L14" s="10" t="n">
        <v>0.05</v>
      </c>
      <c r="M14" s="12" t="n">
        <f aca="false">J14-D14*I14</f>
        <v>129456</v>
      </c>
      <c r="N14" s="10" t="n">
        <f aca="false">IFERROR(M14/J14,0)</f>
        <v>0.678362573099415</v>
      </c>
      <c r="O14" s="13" t="n">
        <f aca="false">IFERROR(H14/$H$34,0)</f>
        <v>0.0468949836578087</v>
      </c>
    </row>
    <row r="15" customFormat="false" ht="15" hidden="false" customHeight="false" outlineLevel="0" collapsed="false">
      <c r="A15" s="14" t="n">
        <v>10</v>
      </c>
      <c r="B15" s="15" t="s">
        <v>25</v>
      </c>
      <c r="C15" s="16" t="s">
        <v>30</v>
      </c>
      <c r="D15" s="17" t="n">
        <v>54</v>
      </c>
      <c r="E15" s="17" t="n">
        <v>180</v>
      </c>
      <c r="F15" s="18" t="n">
        <f aca="false">1-D15/E15</f>
        <v>0.7</v>
      </c>
      <c r="G15" s="19" t="n">
        <v>950</v>
      </c>
      <c r="H15" s="20" t="n">
        <f aca="false">D15*G15</f>
        <v>51300</v>
      </c>
      <c r="I15" s="19" t="n">
        <v>760</v>
      </c>
      <c r="J15" s="17" t="n">
        <f aca="false">E15*I15*(1-L15)</f>
        <v>109440</v>
      </c>
      <c r="K15" s="18" t="n">
        <f aca="false">IFERROR(I15/G15,0)</f>
        <v>0.8</v>
      </c>
      <c r="L15" s="18" t="n">
        <v>0.2</v>
      </c>
      <c r="M15" s="20" t="n">
        <f aca="false">J15-D15*I15</f>
        <v>68400</v>
      </c>
      <c r="N15" s="18" t="n">
        <f aca="false">IFERROR(M15/J15,0)</f>
        <v>0.625</v>
      </c>
      <c r="O15" s="21" t="n">
        <f aca="false">IFERROR(H15/$H$34,0)</f>
        <v>0.036450191843115</v>
      </c>
    </row>
    <row r="16" customFormat="false" ht="15" hidden="false" customHeight="false" outlineLevel="0" collapsed="false">
      <c r="A16" s="6" t="n">
        <v>11</v>
      </c>
      <c r="B16" s="7" t="s">
        <v>25</v>
      </c>
      <c r="C16" s="8" t="s">
        <v>31</v>
      </c>
      <c r="D16" s="9" t="n">
        <v>72</v>
      </c>
      <c r="E16" s="9" t="n">
        <v>245</v>
      </c>
      <c r="F16" s="10" t="n">
        <f aca="false">1-D16/E16</f>
        <v>0.706122448979592</v>
      </c>
      <c r="G16" s="11" t="n">
        <v>800</v>
      </c>
      <c r="H16" s="12" t="n">
        <f aca="false">D16*G16</f>
        <v>57600</v>
      </c>
      <c r="I16" s="11" t="n">
        <v>680</v>
      </c>
      <c r="J16" s="9" t="n">
        <f aca="false">E16*I16*(1-L16)</f>
        <v>149940</v>
      </c>
      <c r="K16" s="10" t="n">
        <f aca="false">IFERROR(I16/G16,0)</f>
        <v>0.85</v>
      </c>
      <c r="L16" s="10" t="n">
        <v>0.1</v>
      </c>
      <c r="M16" s="12" t="n">
        <f aca="false">J16-D16*I16</f>
        <v>100980</v>
      </c>
      <c r="N16" s="10" t="n">
        <f aca="false">IFERROR(M16/J16,0)</f>
        <v>0.673469387755102</v>
      </c>
      <c r="O16" s="13" t="n">
        <f aca="false">IFERROR(H16/$H$34,0)</f>
        <v>0.0409265311922694</v>
      </c>
    </row>
    <row r="17" customFormat="false" ht="18" hidden="false" customHeight="true" outlineLevel="0" collapsed="false">
      <c r="A17" s="22"/>
      <c r="B17" s="22"/>
      <c r="C17" s="23" t="s">
        <v>32</v>
      </c>
      <c r="D17" s="22"/>
      <c r="E17" s="22"/>
      <c r="F17" s="24" t="n">
        <f aca="false">IFERROR(1-SUMPRODUCT(($B$5:$B$33="Knitwear")*$D$5:$D$33*$G$5:$G$33)/SUMPRODUCT(($B$5:$B$33="Knitwear")*$E$5:$E$33*$G$5:$G$33),0)</f>
        <v>0.701449275362319</v>
      </c>
      <c r="G17" s="25" t="n">
        <f aca="false">SUMIFS($G$5:$G$33,$B$5:$B$33,"Knitwear")</f>
        <v>10850</v>
      </c>
      <c r="H17" s="26" t="n">
        <f aca="false">SUMIFS($H$5:$H$33,$B$5:$B$33,"Knitwear")</f>
        <v>381100</v>
      </c>
      <c r="I17" s="25" t="n">
        <f aca="false">SUMIFS($I$5:$I$33,$B$5:$B$33,"Knitwear")</f>
        <v>9475</v>
      </c>
      <c r="J17" s="26" t="n">
        <f aca="false">SUMIFS($J$5:$J$33,$B$5:$B$33,"Knitwear")</f>
        <v>980998.5</v>
      </c>
      <c r="K17" s="24" t="n">
        <f aca="false">IFERROR(I17/G17,0)</f>
        <v>0.873271889400922</v>
      </c>
      <c r="L17" s="22"/>
      <c r="M17" s="26" t="n">
        <f aca="false">SUMIFS($M$5:$M$33,$B$5:$B$33,"Knitwear")</f>
        <v>654328.5</v>
      </c>
      <c r="N17" s="24" t="n">
        <f aca="false">IFERROR(M17/J17,0)</f>
        <v>0.667002548933561</v>
      </c>
      <c r="O17" s="24" t="n">
        <f aca="false">IFERROR(H17/$H$34,0)</f>
        <v>0.270783004121074</v>
      </c>
    </row>
    <row r="18" customFormat="false" ht="15" hidden="false" customHeight="false" outlineLevel="0" collapsed="false">
      <c r="A18" s="14" t="n">
        <v>12</v>
      </c>
      <c r="B18" s="15" t="s">
        <v>33</v>
      </c>
      <c r="C18" s="16" t="s">
        <v>34</v>
      </c>
      <c r="D18" s="17" t="n">
        <v>58</v>
      </c>
      <c r="E18" s="17" t="n">
        <v>195</v>
      </c>
      <c r="F18" s="18" t="n">
        <f aca="false">1-D18/E18</f>
        <v>0.702564102564103</v>
      </c>
      <c r="G18" s="19" t="n">
        <v>1050</v>
      </c>
      <c r="H18" s="20" t="n">
        <f aca="false">D18*G18</f>
        <v>60900</v>
      </c>
      <c r="I18" s="19" t="n">
        <v>840</v>
      </c>
      <c r="J18" s="17" t="n">
        <f aca="false">E18*I18*(1-L18)</f>
        <v>131040</v>
      </c>
      <c r="K18" s="18" t="n">
        <f aca="false">IFERROR(I18/G18,0)</f>
        <v>0.8</v>
      </c>
      <c r="L18" s="18" t="n">
        <v>0.2</v>
      </c>
      <c r="M18" s="20" t="n">
        <f aca="false">J18-D18*I18</f>
        <v>82320</v>
      </c>
      <c r="N18" s="18" t="n">
        <f aca="false">IFERROR(M18/J18,0)</f>
        <v>0.628205128205128</v>
      </c>
      <c r="O18" s="21" t="n">
        <f aca="false">IFERROR(H18/$H$34,0)</f>
        <v>0.0432712803751599</v>
      </c>
    </row>
    <row r="19" customFormat="false" ht="15" hidden="false" customHeight="false" outlineLevel="0" collapsed="false">
      <c r="A19" s="6" t="n">
        <v>13</v>
      </c>
      <c r="B19" s="7" t="s">
        <v>33</v>
      </c>
      <c r="C19" s="8" t="s">
        <v>35</v>
      </c>
      <c r="D19" s="9" t="n">
        <v>44</v>
      </c>
      <c r="E19" s="9" t="n">
        <v>155</v>
      </c>
      <c r="F19" s="10" t="n">
        <f aca="false">1-D19/E19</f>
        <v>0.716129032258065</v>
      </c>
      <c r="G19" s="11" t="n">
        <v>900</v>
      </c>
      <c r="H19" s="12" t="n">
        <f aca="false">D19*G19</f>
        <v>39600</v>
      </c>
      <c r="I19" s="11" t="n">
        <v>720</v>
      </c>
      <c r="J19" s="9" t="n">
        <f aca="false">E19*I19*(1-L19)</f>
        <v>83700</v>
      </c>
      <c r="K19" s="10" t="n">
        <f aca="false">IFERROR(I19/G19,0)</f>
        <v>0.8</v>
      </c>
      <c r="L19" s="10" t="n">
        <v>0.25</v>
      </c>
      <c r="M19" s="12" t="n">
        <f aca="false">J19-D19*I19</f>
        <v>52020</v>
      </c>
      <c r="N19" s="10" t="n">
        <f aca="false">IFERROR(M19/J19,0)</f>
        <v>0.621505376344086</v>
      </c>
      <c r="O19" s="13" t="n">
        <f aca="false">IFERROR(H19/$H$34,0)</f>
        <v>0.0281369901946852</v>
      </c>
    </row>
    <row r="20" customFormat="false" ht="15" hidden="false" customHeight="false" outlineLevel="0" collapsed="false">
      <c r="A20" s="14" t="n">
        <v>14</v>
      </c>
      <c r="B20" s="15" t="s">
        <v>33</v>
      </c>
      <c r="C20" s="16" t="s">
        <v>36</v>
      </c>
      <c r="D20" s="17" t="n">
        <v>50</v>
      </c>
      <c r="E20" s="17" t="n">
        <v>175</v>
      </c>
      <c r="F20" s="18" t="n">
        <f aca="false">1-D20/E20</f>
        <v>0.714285714285714</v>
      </c>
      <c r="G20" s="19" t="n">
        <v>1150</v>
      </c>
      <c r="H20" s="20" t="n">
        <f aca="false">D20*G20</f>
        <v>57500</v>
      </c>
      <c r="I20" s="19" t="n">
        <v>978</v>
      </c>
      <c r="J20" s="17" t="n">
        <f aca="false">E20*I20*(1-L20)</f>
        <v>154035</v>
      </c>
      <c r="K20" s="18" t="n">
        <f aca="false">IFERROR(I20/G20,0)</f>
        <v>0.850434782608696</v>
      </c>
      <c r="L20" s="18" t="n">
        <v>0.1</v>
      </c>
      <c r="M20" s="20" t="n">
        <f aca="false">J20-D20*I20</f>
        <v>105135</v>
      </c>
      <c r="N20" s="18" t="n">
        <f aca="false">IFERROR(M20/J20,0)</f>
        <v>0.682539682539683</v>
      </c>
      <c r="O20" s="21" t="n">
        <f aca="false">IFERROR(H20/$H$34,0)</f>
        <v>0.0408554781867273</v>
      </c>
    </row>
    <row r="21" customFormat="false" ht="15" hidden="false" customHeight="false" outlineLevel="0" collapsed="false">
      <c r="A21" s="6" t="n">
        <v>15</v>
      </c>
      <c r="B21" s="7" t="s">
        <v>33</v>
      </c>
      <c r="C21" s="8" t="s">
        <v>37</v>
      </c>
      <c r="D21" s="9" t="n">
        <v>40</v>
      </c>
      <c r="E21" s="9" t="n">
        <v>135</v>
      </c>
      <c r="F21" s="10" t="n">
        <f aca="false">1-D21/E21</f>
        <v>0.703703703703704</v>
      </c>
      <c r="G21" s="11" t="n">
        <v>800</v>
      </c>
      <c r="H21" s="12" t="n">
        <f aca="false">D21*G21</f>
        <v>32000</v>
      </c>
      <c r="I21" s="11" t="n">
        <v>600</v>
      </c>
      <c r="J21" s="9" t="n">
        <f aca="false">E21*I21*(1-L21)</f>
        <v>56700</v>
      </c>
      <c r="K21" s="10" t="n">
        <f aca="false">IFERROR(I21/G21,0)</f>
        <v>0.75</v>
      </c>
      <c r="L21" s="10" t="n">
        <v>0.3</v>
      </c>
      <c r="M21" s="12" t="n">
        <f aca="false">J21-D21*I21</f>
        <v>32700</v>
      </c>
      <c r="N21" s="10" t="n">
        <f aca="false">IFERROR(M21/J21,0)</f>
        <v>0.576719576719577</v>
      </c>
      <c r="O21" s="13" t="n">
        <f aca="false">IFERROR(H21/$H$34,0)</f>
        <v>0.022736961773483</v>
      </c>
    </row>
    <row r="22" customFormat="false" ht="18" hidden="false" customHeight="true" outlineLevel="0" collapsed="false">
      <c r="A22" s="22"/>
      <c r="B22" s="22"/>
      <c r="C22" s="23" t="s">
        <v>38</v>
      </c>
      <c r="D22" s="22"/>
      <c r="E22" s="22"/>
      <c r="F22" s="24" t="n">
        <f aca="false">IFERROR(1-SUMPRODUCT(($B$5:$B$33="Dresses")*$D$5:$D$33*$G$5:$G$33)/SUMPRODUCT(($B$5:$B$33="Dresses")*$E$5:$E$33*$G$5:$G$33),0)</f>
        <v>0.709257842387146</v>
      </c>
      <c r="G22" s="25" t="n">
        <f aca="false">SUMIFS($G$5:$G$33,$B$5:$B$33,"Dresses")</f>
        <v>3900</v>
      </c>
      <c r="H22" s="26" t="n">
        <f aca="false">SUMIFS($H$5:$H$33,$B$5:$B$33,"Dresses")</f>
        <v>190000</v>
      </c>
      <c r="I22" s="25" t="n">
        <f aca="false">SUMIFS($I$5:$I$33,$B$5:$B$33,"Dresses")</f>
        <v>3138</v>
      </c>
      <c r="J22" s="26" t="n">
        <f aca="false">SUMIFS($J$5:$J$33,$B$5:$B$33,"Dresses")</f>
        <v>425475</v>
      </c>
      <c r="K22" s="24" t="n">
        <f aca="false">IFERROR(I22/G22,0)</f>
        <v>0.804615384615385</v>
      </c>
      <c r="L22" s="22"/>
      <c r="M22" s="26" t="n">
        <f aca="false">SUMIFS($M$5:$M$33,$B$5:$B$33,"Dresses")</f>
        <v>272175</v>
      </c>
      <c r="N22" s="24" t="n">
        <f aca="false">IFERROR(M22/J22,0)</f>
        <v>0.639696809448264</v>
      </c>
      <c r="O22" s="24" t="n">
        <f aca="false">IFERROR(H22/$H$34,0)</f>
        <v>0.135000710530055</v>
      </c>
    </row>
    <row r="23" customFormat="false" ht="15" hidden="false" customHeight="false" outlineLevel="0" collapsed="false">
      <c r="A23" s="14" t="n">
        <v>16</v>
      </c>
      <c r="B23" s="15" t="s">
        <v>39</v>
      </c>
      <c r="C23" s="16" t="s">
        <v>40</v>
      </c>
      <c r="D23" s="17" t="n">
        <v>28</v>
      </c>
      <c r="E23" s="17" t="n">
        <v>95</v>
      </c>
      <c r="F23" s="18" t="n">
        <f aca="false">1-D23/E23</f>
        <v>0.705263157894737</v>
      </c>
      <c r="G23" s="19" t="n">
        <v>2400</v>
      </c>
      <c r="H23" s="20" t="n">
        <f aca="false">D23*G23</f>
        <v>67200</v>
      </c>
      <c r="I23" s="19" t="n">
        <v>2160</v>
      </c>
      <c r="J23" s="17" t="n">
        <f aca="false">E23*I23*(1-L23)</f>
        <v>184680</v>
      </c>
      <c r="K23" s="18" t="n">
        <f aca="false">IFERROR(I23/G23,0)</f>
        <v>0.9</v>
      </c>
      <c r="L23" s="18" t="n">
        <v>0.1</v>
      </c>
      <c r="M23" s="20" t="n">
        <f aca="false">J23-D23*I23</f>
        <v>124200</v>
      </c>
      <c r="N23" s="18" t="n">
        <f aca="false">IFERROR(M23/J23,0)</f>
        <v>0.672514619883041</v>
      </c>
      <c r="O23" s="21" t="n">
        <f aca="false">IFERROR(H23/$H$34,0)</f>
        <v>0.0477476197243143</v>
      </c>
    </row>
    <row r="24" customFormat="false" ht="15" hidden="false" customHeight="false" outlineLevel="0" collapsed="false">
      <c r="A24" s="6" t="n">
        <v>17</v>
      </c>
      <c r="B24" s="7" t="s">
        <v>39</v>
      </c>
      <c r="C24" s="8" t="s">
        <v>41</v>
      </c>
      <c r="D24" s="9" t="n">
        <v>38</v>
      </c>
      <c r="E24" s="9" t="n">
        <v>135</v>
      </c>
      <c r="F24" s="10" t="n">
        <f aca="false">1-D24/E24</f>
        <v>0.718518518518519</v>
      </c>
      <c r="G24" s="11" t="n">
        <v>1600</v>
      </c>
      <c r="H24" s="12" t="n">
        <f aca="false">D24*G24</f>
        <v>60800</v>
      </c>
      <c r="I24" s="11" t="n">
        <v>1360</v>
      </c>
      <c r="J24" s="9" t="n">
        <f aca="false">E24*I24*(1-L24)</f>
        <v>156060</v>
      </c>
      <c r="K24" s="10" t="n">
        <f aca="false">IFERROR(I24/G24,0)</f>
        <v>0.85</v>
      </c>
      <c r="L24" s="10" t="n">
        <v>0.15</v>
      </c>
      <c r="M24" s="12" t="n">
        <f aca="false">J24-D24*I24</f>
        <v>104380</v>
      </c>
      <c r="N24" s="10" t="n">
        <f aca="false">IFERROR(M24/J24,0)</f>
        <v>0.668845315904139</v>
      </c>
      <c r="O24" s="13" t="n">
        <f aca="false">IFERROR(H24/$H$34,0)</f>
        <v>0.0432002273696177</v>
      </c>
    </row>
    <row r="25" customFormat="false" ht="15" hidden="false" customHeight="false" outlineLevel="0" collapsed="false">
      <c r="A25" s="14" t="n">
        <v>18</v>
      </c>
      <c r="B25" s="15" t="s">
        <v>39</v>
      </c>
      <c r="C25" s="16" t="s">
        <v>42</v>
      </c>
      <c r="D25" s="17" t="n">
        <v>30</v>
      </c>
      <c r="E25" s="17" t="n">
        <v>105</v>
      </c>
      <c r="F25" s="18" t="n">
        <f aca="false">1-D25/E25</f>
        <v>0.714285714285714</v>
      </c>
      <c r="G25" s="19" t="n">
        <v>1900</v>
      </c>
      <c r="H25" s="20" t="n">
        <f aca="false">D25*G25</f>
        <v>57000</v>
      </c>
      <c r="I25" s="19" t="n">
        <v>1520</v>
      </c>
      <c r="J25" s="17" t="n">
        <f aca="false">E25*I25*(1-L25)</f>
        <v>127680</v>
      </c>
      <c r="K25" s="18" t="n">
        <f aca="false">IFERROR(I25/G25,0)</f>
        <v>0.8</v>
      </c>
      <c r="L25" s="18" t="n">
        <v>0.2</v>
      </c>
      <c r="M25" s="20" t="n">
        <f aca="false">J25-D25*I25</f>
        <v>82080</v>
      </c>
      <c r="N25" s="18" t="n">
        <f aca="false">IFERROR(M25/J25,0)</f>
        <v>0.642857142857143</v>
      </c>
      <c r="O25" s="21" t="n">
        <f aca="false">IFERROR(H25/$H$34,0)</f>
        <v>0.0405002131590166</v>
      </c>
    </row>
    <row r="26" customFormat="false" ht="15" hidden="false" customHeight="false" outlineLevel="0" collapsed="false">
      <c r="A26" s="6" t="n">
        <v>19</v>
      </c>
      <c r="B26" s="7" t="s">
        <v>39</v>
      </c>
      <c r="C26" s="8" t="s">
        <v>43</v>
      </c>
      <c r="D26" s="9" t="n">
        <v>42</v>
      </c>
      <c r="E26" s="9" t="n">
        <v>145</v>
      </c>
      <c r="F26" s="10" t="n">
        <f aca="false">1-D26/E26</f>
        <v>0.710344827586207</v>
      </c>
      <c r="G26" s="11" t="n">
        <v>1250</v>
      </c>
      <c r="H26" s="12" t="n">
        <f aca="false">D26*G26</f>
        <v>52500</v>
      </c>
      <c r="I26" s="11" t="n">
        <v>1000</v>
      </c>
      <c r="J26" s="9" t="n">
        <f aca="false">E26*I26*(1-L26)</f>
        <v>123250</v>
      </c>
      <c r="K26" s="10" t="n">
        <f aca="false">IFERROR(I26/G26,0)</f>
        <v>0.8</v>
      </c>
      <c r="L26" s="10" t="n">
        <v>0.15</v>
      </c>
      <c r="M26" s="12" t="n">
        <f aca="false">J26-D26*I26</f>
        <v>81250</v>
      </c>
      <c r="N26" s="10" t="n">
        <f aca="false">IFERROR(M26/J26,0)</f>
        <v>0.659229208924949</v>
      </c>
      <c r="O26" s="13" t="n">
        <f aca="false">IFERROR(H26/$H$34,0)</f>
        <v>0.0373028279096206</v>
      </c>
    </row>
    <row r="27" customFormat="false" ht="18" hidden="false" customHeight="true" outlineLevel="0" collapsed="false">
      <c r="A27" s="22"/>
      <c r="B27" s="22"/>
      <c r="C27" s="23" t="s">
        <v>44</v>
      </c>
      <c r="D27" s="22"/>
      <c r="E27" s="22"/>
      <c r="F27" s="24" t="n">
        <f aca="false">IFERROR(1-SUMPRODUCT(($B$5:$B$33="Denim")*$D$5:$D$33*$G$5:$G$33)/SUMPRODUCT(($B$5:$B$33="Denim")*$E$5:$E$33*$G$5:$G$33),0)</f>
        <v>0.712033949681722</v>
      </c>
      <c r="G27" s="25" t="n">
        <f aca="false">SUMIFS($G$5:$G$33,$B$5:$B$33,"Denim")</f>
        <v>7150</v>
      </c>
      <c r="H27" s="26" t="n">
        <f aca="false">SUMIFS($H$5:$H$33,$B$5:$B$33,"Denim")</f>
        <v>237500</v>
      </c>
      <c r="I27" s="25" t="n">
        <f aca="false">SUMIFS($I$5:$I$33,$B$5:$B$33,"Denim")</f>
        <v>6040</v>
      </c>
      <c r="J27" s="26" t="n">
        <f aca="false">SUMIFS($J$5:$J$33,$B$5:$B$33,"Denim")</f>
        <v>591670</v>
      </c>
      <c r="K27" s="24" t="n">
        <f aca="false">IFERROR(I27/G27,0)</f>
        <v>0.844755244755245</v>
      </c>
      <c r="L27" s="22"/>
      <c r="M27" s="26" t="n">
        <f aca="false">SUMIFS($M$5:$M$33,$B$5:$B$33,"Denim")</f>
        <v>391910</v>
      </c>
      <c r="N27" s="24" t="n">
        <f aca="false">IFERROR(M27/J27,0)</f>
        <v>0.662379366876806</v>
      </c>
      <c r="O27" s="24" t="n">
        <f aca="false">IFERROR(H27/$H$34,0)</f>
        <v>0.168750888162569</v>
      </c>
    </row>
    <row r="28" customFormat="false" ht="15" hidden="false" customHeight="false" outlineLevel="0" collapsed="false">
      <c r="A28" s="14" t="n">
        <v>20</v>
      </c>
      <c r="B28" s="15" t="s">
        <v>45</v>
      </c>
      <c r="C28" s="16" t="s">
        <v>46</v>
      </c>
      <c r="D28" s="17" t="n">
        <v>8</v>
      </c>
      <c r="E28" s="17" t="n">
        <v>32</v>
      </c>
      <c r="F28" s="18" t="n">
        <f aca="false">1-D28/E28</f>
        <v>0.75</v>
      </c>
      <c r="G28" s="19" t="n">
        <v>3000</v>
      </c>
      <c r="H28" s="20" t="n">
        <f aca="false">D28*G28</f>
        <v>24000</v>
      </c>
      <c r="I28" s="19" t="n">
        <v>2760</v>
      </c>
      <c r="J28" s="17" t="n">
        <f aca="false">E28*I28*(1-L28)</f>
        <v>83904</v>
      </c>
      <c r="K28" s="18" t="n">
        <f aca="false">IFERROR(I28/G28,0)</f>
        <v>0.92</v>
      </c>
      <c r="L28" s="18" t="n">
        <v>0.05</v>
      </c>
      <c r="M28" s="20" t="n">
        <f aca="false">J28-D28*I28</f>
        <v>61824</v>
      </c>
      <c r="N28" s="18" t="n">
        <f aca="false">IFERROR(M28/J28,0)</f>
        <v>0.736842105263158</v>
      </c>
      <c r="O28" s="21" t="n">
        <f aca="false">IFERROR(H28/$H$34,0)</f>
        <v>0.0170527213301123</v>
      </c>
    </row>
    <row r="29" customFormat="false" ht="15" hidden="false" customHeight="false" outlineLevel="0" collapsed="false">
      <c r="A29" s="6" t="n">
        <v>21</v>
      </c>
      <c r="B29" s="7" t="s">
        <v>45</v>
      </c>
      <c r="C29" s="8" t="s">
        <v>47</v>
      </c>
      <c r="D29" s="9" t="n">
        <v>14</v>
      </c>
      <c r="E29" s="9" t="n">
        <v>55</v>
      </c>
      <c r="F29" s="10" t="n">
        <f aca="false">1-D29/E29</f>
        <v>0.745454545454546</v>
      </c>
      <c r="G29" s="11" t="n">
        <v>1800</v>
      </c>
      <c r="H29" s="12" t="n">
        <f aca="false">D29*G29</f>
        <v>25200</v>
      </c>
      <c r="I29" s="11" t="n">
        <v>1440</v>
      </c>
      <c r="J29" s="9" t="n">
        <f aca="false">E29*I29*(1-L29)</f>
        <v>63360</v>
      </c>
      <c r="K29" s="10" t="n">
        <f aca="false">IFERROR(I29/G29,0)</f>
        <v>0.8</v>
      </c>
      <c r="L29" s="10" t="n">
        <v>0.2</v>
      </c>
      <c r="M29" s="12" t="n">
        <f aca="false">J29-D29*I29</f>
        <v>43200</v>
      </c>
      <c r="N29" s="10" t="n">
        <f aca="false">IFERROR(M29/J29,0)</f>
        <v>0.681818181818182</v>
      </c>
      <c r="O29" s="13" t="n">
        <f aca="false">IFERROR(H29/$H$34,0)</f>
        <v>0.0179053573966179</v>
      </c>
    </row>
    <row r="30" customFormat="false" ht="15" hidden="false" customHeight="false" outlineLevel="0" collapsed="false">
      <c r="A30" s="14" t="n">
        <v>22</v>
      </c>
      <c r="B30" s="15" t="s">
        <v>45</v>
      </c>
      <c r="C30" s="16" t="s">
        <v>48</v>
      </c>
      <c r="D30" s="17" t="n">
        <v>30</v>
      </c>
      <c r="E30" s="17" t="n">
        <v>110</v>
      </c>
      <c r="F30" s="18" t="n">
        <f aca="false">1-D30/E30</f>
        <v>0.727272727272727</v>
      </c>
      <c r="G30" s="19" t="n">
        <v>1500</v>
      </c>
      <c r="H30" s="20" t="n">
        <f aca="false">D30*G30</f>
        <v>45000</v>
      </c>
      <c r="I30" s="19" t="n">
        <v>1275</v>
      </c>
      <c r="J30" s="17" t="n">
        <f aca="false">E30*I30*(1-L30)</f>
        <v>126225</v>
      </c>
      <c r="K30" s="18" t="n">
        <f aca="false">IFERROR(I30/G30,0)</f>
        <v>0.85</v>
      </c>
      <c r="L30" s="18" t="n">
        <v>0.1</v>
      </c>
      <c r="M30" s="20" t="n">
        <f aca="false">J30-D30*I30</f>
        <v>87975</v>
      </c>
      <c r="N30" s="18" t="n">
        <f aca="false">IFERROR(M30/J30,0)</f>
        <v>0.696969696969697</v>
      </c>
      <c r="O30" s="21" t="n">
        <f aca="false">IFERROR(H30/$H$34,0)</f>
        <v>0.0319738524939605</v>
      </c>
    </row>
    <row r="31" customFormat="false" ht="15" hidden="false" customHeight="false" outlineLevel="0" collapsed="false">
      <c r="A31" s="6" t="n">
        <v>23</v>
      </c>
      <c r="B31" s="7" t="s">
        <v>45</v>
      </c>
      <c r="C31" s="8" t="s">
        <v>49</v>
      </c>
      <c r="D31" s="9" t="n">
        <v>88</v>
      </c>
      <c r="E31" s="9" t="n">
        <v>295</v>
      </c>
      <c r="F31" s="10" t="n">
        <f aca="false">1-D31/E31</f>
        <v>0.701694915254237</v>
      </c>
      <c r="G31" s="11" t="n">
        <v>600</v>
      </c>
      <c r="H31" s="12" t="n">
        <f aca="false">D31*G31</f>
        <v>52800</v>
      </c>
      <c r="I31" s="11" t="n">
        <v>480</v>
      </c>
      <c r="J31" s="9" t="n">
        <f aca="false">E31*I31*(1-L31)</f>
        <v>106200</v>
      </c>
      <c r="K31" s="10" t="n">
        <f aca="false">IFERROR(I31/G31,0)</f>
        <v>0.8</v>
      </c>
      <c r="L31" s="10" t="n">
        <v>0.25</v>
      </c>
      <c r="M31" s="12" t="n">
        <f aca="false">J31-D31*I31</f>
        <v>63960</v>
      </c>
      <c r="N31" s="10" t="n">
        <f aca="false">IFERROR(M31/J31,0)</f>
        <v>0.60225988700565</v>
      </c>
      <c r="O31" s="13" t="n">
        <f aca="false">IFERROR(H31/$H$34,0)</f>
        <v>0.037515986926247</v>
      </c>
    </row>
    <row r="32" customFormat="false" ht="15" hidden="false" customHeight="false" outlineLevel="0" collapsed="false">
      <c r="A32" s="14" t="n">
        <v>24</v>
      </c>
      <c r="B32" s="15" t="s">
        <v>45</v>
      </c>
      <c r="C32" s="16" t="s">
        <v>50</v>
      </c>
      <c r="D32" s="17" t="n">
        <v>22</v>
      </c>
      <c r="E32" s="17" t="n">
        <v>78</v>
      </c>
      <c r="F32" s="18" t="n">
        <f aca="false">1-D32/E32</f>
        <v>0.717948717948718</v>
      </c>
      <c r="G32" s="19" t="n">
        <v>2000</v>
      </c>
      <c r="H32" s="20" t="n">
        <f aca="false">D32*G32</f>
        <v>44000</v>
      </c>
      <c r="I32" s="19" t="n">
        <v>1700</v>
      </c>
      <c r="J32" s="17" t="n">
        <f aca="false">E32*I32*(1-L32)</f>
        <v>119340</v>
      </c>
      <c r="K32" s="18" t="n">
        <f aca="false">IFERROR(I32/G32,0)</f>
        <v>0.85</v>
      </c>
      <c r="L32" s="18" t="n">
        <v>0.1</v>
      </c>
      <c r="M32" s="20" t="n">
        <f aca="false">J32-D32*I32</f>
        <v>81940</v>
      </c>
      <c r="N32" s="18" t="n">
        <f aca="false">IFERROR(M32/J32,0)</f>
        <v>0.686609686609687</v>
      </c>
      <c r="O32" s="21" t="n">
        <f aca="false">IFERROR(H32/$H$34,0)</f>
        <v>0.0312633224385392</v>
      </c>
    </row>
    <row r="33" customFormat="false" ht="18" hidden="false" customHeight="true" outlineLevel="0" collapsed="false">
      <c r="A33" s="22"/>
      <c r="B33" s="22"/>
      <c r="C33" s="23" t="s">
        <v>51</v>
      </c>
      <c r="D33" s="22"/>
      <c r="E33" s="22"/>
      <c r="F33" s="24" t="n">
        <f aca="false">IFERROR(1-SUMPRODUCT(($B$5:$B$33="Accessories")*$D$5:$D$33*$G$5:$G$33)/SUMPRODUCT(($B$5:$B$33="Accessories")*$E$5:$E$33*$G$5:$G$33),0)</f>
        <v>0.724386724386724</v>
      </c>
      <c r="G33" s="25" t="n">
        <f aca="false">SUMIFS($G$5:$G$33,$B$5:$B$33,"Accessories")</f>
        <v>8900</v>
      </c>
      <c r="H33" s="26" t="n">
        <f aca="false">SUMIFS($H$5:$H$33,$B$5:$B$33,"Accessories")</f>
        <v>191000</v>
      </c>
      <c r="I33" s="25" t="n">
        <f aca="false">SUMIFS($I$5:$I$33,$B$5:$B$33,"Accessories")</f>
        <v>7655</v>
      </c>
      <c r="J33" s="26" t="n">
        <f aca="false">SUMIFS($J$5:$J$33,$B$5:$B$33,"Accessories")</f>
        <v>499029</v>
      </c>
      <c r="K33" s="24" t="n">
        <f aca="false">IFERROR(I33/G33,0)</f>
        <v>0.860112359550562</v>
      </c>
      <c r="L33" s="22"/>
      <c r="M33" s="26" t="n">
        <f aca="false">SUMIFS($M$5:$M$33,$B$5:$B$33,"Accessories")</f>
        <v>338899</v>
      </c>
      <c r="N33" s="24" t="n">
        <f aca="false">IFERROR(M33/J33,0)</f>
        <v>0.679116844912821</v>
      </c>
      <c r="O33" s="24" t="n">
        <f aca="false">IFERROR(H33/$H$34,0)</f>
        <v>0.135711240585477</v>
      </c>
    </row>
    <row r="34" customFormat="false" ht="21.75" hidden="false" customHeight="true" outlineLevel="0" collapsed="false">
      <c r="A34" s="27"/>
      <c r="B34" s="27"/>
      <c r="C34" s="28" t="s">
        <v>52</v>
      </c>
      <c r="D34" s="27"/>
      <c r="E34" s="27"/>
      <c r="F34" s="29" t="n">
        <f aca="false">IFERROR(1-SUMPRODUCT($D$5:$D$33,$G$5:$G$33)/SUMPRODUCT($E$5:$E$33,$G$5:$G$33),0)</f>
        <v>0.707477266822551</v>
      </c>
      <c r="G34" s="30" t="n">
        <f aca="false">G10+G17+G22+G27+G33</f>
        <v>35150</v>
      </c>
      <c r="H34" s="31" t="n">
        <f aca="false">H10+H17+H22+H27+H33</f>
        <v>1407400</v>
      </c>
      <c r="I34" s="30" t="n">
        <f aca="false">I10+I17+I22+I27+I33</f>
        <v>29963</v>
      </c>
      <c r="J34" s="31" t="n">
        <f aca="false">J10+J17+J22+J27+J33</f>
        <v>3470727.5</v>
      </c>
      <c r="K34" s="29" t="n">
        <f aca="false">IFERROR(I34/G34,0)</f>
        <v>0.852432432432432</v>
      </c>
      <c r="L34" s="27"/>
      <c r="M34" s="31" t="n">
        <f aca="false">M10+M17+M22+M27+M33</f>
        <v>2288817.5</v>
      </c>
      <c r="N34" s="29" t="n">
        <f aca="false">IFERROR(M34/J34,0)</f>
        <v>0.659463325772479</v>
      </c>
      <c r="O34" s="29" t="n">
        <f aca="false">IFERROR(H34/$H$34,0)</f>
        <v>1</v>
      </c>
    </row>
  </sheetData>
  <autoFilter ref="A4:O33"/>
  <mergeCells count="4">
    <mergeCell ref="A1:O1"/>
    <mergeCell ref="A2:O2"/>
    <mergeCell ref="A3:H3"/>
    <mergeCell ref="I3:O3"/>
  </mergeCells>
  <conditionalFormatting sqref="O5:O33">
    <cfRule type="dataBar" priority="2">
      <dataBar showValue="1" minLength="10" maxLength="90">
        <cfvo type="num" val="0"/>
        <cfvo type="max" val="0"/>
        <color rgb="FF2547D0"/>
      </dataBar>
      <extLst>
        <ext xmlns:x14="http://schemas.microsoft.com/office/spreadsheetml/2009/9/main" uri="{B025F937-C7B1-47D3-B67F-A62EFF666E3E}">
          <x14:id>{F8C38C75-C82B-4B4E-8E3F-2595E75DF2C0}</x14:id>
        </ext>
      </extLst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C38C75-C82B-4B4E-8E3F-2595E75DF2C0}">
            <x14:dataBar minLength="10" maxLength="90" axisPosition="none" gradient="true">
              <x14:cfvo type="num">
                <xm:f>0</xm:f>
              </x14:cfvo>
              <x14:cfvo type="max"/>
              <x14:negativeFillColor rgb="FF2547D0"/>
              <x14:axisColor rgb="FF000000"/>
            </x14:dataBar>
          </x14:cfRule>
          <xm:sqref>O5:O33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6" min="2" style="0" width="13"/>
    <col collapsed="false" customWidth="true" hidden="false" outlineLevel="0" max="7" min="7" style="0" width="14"/>
  </cols>
  <sheetData>
    <row r="1" customFormat="false" ht="30" hidden="false" customHeight="true" outlineLevel="0" collapsed="false">
      <c r="A1" s="32" t="s">
        <v>53</v>
      </c>
      <c r="B1" s="32"/>
      <c r="C1" s="32"/>
      <c r="D1" s="32"/>
      <c r="E1" s="32"/>
      <c r="F1" s="32"/>
      <c r="G1" s="32"/>
    </row>
    <row r="2" customFormat="false" ht="18" hidden="false" customHeight="true" outlineLevel="0" collapsed="false">
      <c r="A2" s="33" t="s">
        <v>54</v>
      </c>
      <c r="B2" s="33"/>
      <c r="C2" s="33"/>
      <c r="D2" s="33"/>
      <c r="E2" s="33"/>
      <c r="F2" s="33"/>
      <c r="G2" s="33"/>
    </row>
    <row r="4" customFormat="false" ht="27.75" hidden="false" customHeight="true" outlineLevel="0" collapsed="false">
      <c r="A4" s="5" t="s">
        <v>55</v>
      </c>
      <c r="B4" s="5" t="s">
        <v>18</v>
      </c>
      <c r="C4" s="5" t="s">
        <v>25</v>
      </c>
      <c r="D4" s="5" t="s">
        <v>33</v>
      </c>
      <c r="E4" s="5" t="s">
        <v>39</v>
      </c>
      <c r="F4" s="5" t="s">
        <v>45</v>
      </c>
      <c r="G4" s="34" t="s">
        <v>56</v>
      </c>
    </row>
    <row r="5" customFormat="false" ht="15" hidden="false" customHeight="false" outlineLevel="0" collapsed="false">
      <c r="A5" s="35" t="s">
        <v>57</v>
      </c>
      <c r="B5" s="9" t="n">
        <v>40800</v>
      </c>
      <c r="C5" s="9" t="n">
        <v>38100</v>
      </c>
      <c r="D5" s="9" t="n">
        <v>19000</v>
      </c>
      <c r="E5" s="9" t="n">
        <v>28000</v>
      </c>
      <c r="F5" s="9" t="n">
        <v>19100</v>
      </c>
      <c r="G5" s="36" t="n">
        <f aca="false">SUM(B5:F5)</f>
        <v>145000</v>
      </c>
    </row>
    <row r="6" customFormat="false" ht="15" hidden="false" customHeight="false" outlineLevel="0" collapsed="false">
      <c r="A6" s="37" t="s">
        <v>58</v>
      </c>
      <c r="B6" s="17" t="n">
        <v>57100</v>
      </c>
      <c r="C6" s="17" t="n">
        <v>53400</v>
      </c>
      <c r="D6" s="17" t="n">
        <v>26600</v>
      </c>
      <c r="E6" s="17" t="n">
        <v>39100</v>
      </c>
      <c r="F6" s="17" t="n">
        <v>26700</v>
      </c>
      <c r="G6" s="38" t="n">
        <f aca="false">SUM(B6:F6)</f>
        <v>202900</v>
      </c>
    </row>
    <row r="7" customFormat="false" ht="15" hidden="false" customHeight="false" outlineLevel="0" collapsed="false">
      <c r="A7" s="35" t="s">
        <v>59</v>
      </c>
      <c r="B7" s="9" t="n">
        <v>81600</v>
      </c>
      <c r="C7" s="9" t="n">
        <v>76200</v>
      </c>
      <c r="D7" s="9" t="n">
        <v>38000</v>
      </c>
      <c r="E7" s="9" t="n">
        <v>55900</v>
      </c>
      <c r="F7" s="9" t="n">
        <v>38200</v>
      </c>
      <c r="G7" s="36" t="n">
        <f aca="false">SUM(B7:F7)</f>
        <v>289900</v>
      </c>
    </row>
    <row r="8" customFormat="false" ht="15" hidden="false" customHeight="false" outlineLevel="0" collapsed="false">
      <c r="A8" s="37" t="s">
        <v>60</v>
      </c>
      <c r="B8" s="17" t="n">
        <v>89700</v>
      </c>
      <c r="C8" s="17" t="n">
        <v>83800</v>
      </c>
      <c r="D8" s="17" t="n">
        <v>41800</v>
      </c>
      <c r="E8" s="17" t="n">
        <v>61500</v>
      </c>
      <c r="F8" s="17" t="n">
        <v>42000</v>
      </c>
      <c r="G8" s="38" t="n">
        <f aca="false">SUM(B8:F8)</f>
        <v>318800</v>
      </c>
    </row>
    <row r="9" customFormat="false" ht="15" hidden="false" customHeight="false" outlineLevel="0" collapsed="false">
      <c r="A9" s="35" t="s">
        <v>61</v>
      </c>
      <c r="B9" s="9" t="n">
        <v>81600</v>
      </c>
      <c r="C9" s="9" t="n">
        <v>76200</v>
      </c>
      <c r="D9" s="9" t="n">
        <v>38000</v>
      </c>
      <c r="E9" s="9" t="n">
        <v>55900</v>
      </c>
      <c r="F9" s="9" t="n">
        <v>38200</v>
      </c>
      <c r="G9" s="36" t="n">
        <f aca="false">SUM(B9:F9)</f>
        <v>289900</v>
      </c>
    </row>
    <row r="10" customFormat="false" ht="15" hidden="false" customHeight="false" outlineLevel="0" collapsed="false">
      <c r="A10" s="37" t="s">
        <v>62</v>
      </c>
      <c r="B10" s="17" t="n">
        <v>57000</v>
      </c>
      <c r="C10" s="17" t="n">
        <v>53400</v>
      </c>
      <c r="D10" s="17" t="n">
        <v>26600</v>
      </c>
      <c r="E10" s="17" t="n">
        <v>39100</v>
      </c>
      <c r="F10" s="17" t="n">
        <v>26800</v>
      </c>
      <c r="G10" s="38" t="n">
        <f aca="false">SUM(B10:F10)</f>
        <v>202900</v>
      </c>
    </row>
    <row r="11" customFormat="false" ht="19.5" hidden="false" customHeight="true" outlineLevel="0" collapsed="false">
      <c r="A11" s="39" t="s">
        <v>63</v>
      </c>
      <c r="B11" s="26" t="n">
        <f aca="false">SUM(B5:B10)</f>
        <v>407800</v>
      </c>
      <c r="C11" s="26" t="n">
        <f aca="false">SUM(C5:C10)</f>
        <v>381100</v>
      </c>
      <c r="D11" s="26" t="n">
        <f aca="false">SUM(D5:D10)</f>
        <v>190000</v>
      </c>
      <c r="E11" s="26" t="n">
        <f aca="false">SUM(E5:E10)</f>
        <v>279500</v>
      </c>
      <c r="F11" s="26" t="n">
        <f aca="false">SUM(F5:F10)</f>
        <v>191000</v>
      </c>
      <c r="G11" s="31" t="n">
        <f aca="false">SUM(B11:F11)</f>
        <v>1449400</v>
      </c>
    </row>
    <row r="13" customFormat="false" ht="21.75" hidden="false" customHeight="true" outlineLevel="0" collapsed="false">
      <c r="A13" s="40" t="s">
        <v>64</v>
      </c>
      <c r="B13" s="40"/>
      <c r="C13" s="40"/>
      <c r="D13" s="40"/>
      <c r="E13" s="40"/>
      <c r="F13" s="40"/>
      <c r="G13" s="40"/>
    </row>
    <row r="14" customFormat="false" ht="25.5" hidden="false" customHeight="true" outlineLevel="0" collapsed="false">
      <c r="A14" s="5" t="s">
        <v>4</v>
      </c>
      <c r="B14" s="5" t="s">
        <v>65</v>
      </c>
      <c r="C14" s="5" t="s">
        <v>66</v>
      </c>
      <c r="D14" s="5" t="s">
        <v>67</v>
      </c>
      <c r="E14" s="5" t="s">
        <v>68</v>
      </c>
    </row>
    <row r="15" customFormat="false" ht="15" hidden="false" customHeight="false" outlineLevel="0" collapsed="false">
      <c r="A15" s="7" t="s">
        <v>18</v>
      </c>
      <c r="B15" s="9" t="n">
        <f aca="false">SUM(B5:B10)</f>
        <v>407800</v>
      </c>
      <c r="C15" s="9" t="n">
        <f aca="false">SUMIFS('Buy plan'!$H$5:$H$33,'Buy plan'!$B$5:$B$33,"Outerwear")</f>
        <v>407800</v>
      </c>
      <c r="D15" s="12" t="n">
        <f aca="false">B15-C15</f>
        <v>0</v>
      </c>
      <c r="E15" s="35" t="str">
        <f aca="false">IF(ABS(D15)&gt;Assumptions!$C$10,"OUT","tied")</f>
        <v>tied</v>
      </c>
    </row>
    <row r="16" customFormat="false" ht="15" hidden="false" customHeight="false" outlineLevel="0" collapsed="false">
      <c r="A16" s="15" t="s">
        <v>25</v>
      </c>
      <c r="B16" s="17" t="n">
        <f aca="false">SUM(C5:C10)</f>
        <v>381100</v>
      </c>
      <c r="C16" s="17" t="n">
        <f aca="false">SUMIFS('Buy plan'!$H$5:$H$33,'Buy plan'!$B$5:$B$33,"Knitwear")</f>
        <v>381100</v>
      </c>
      <c r="D16" s="20" t="n">
        <f aca="false">B16-C16</f>
        <v>0</v>
      </c>
      <c r="E16" s="37" t="str">
        <f aca="false">IF(ABS(D16)&gt;Assumptions!$C$10,"OUT","tied")</f>
        <v>tied</v>
      </c>
    </row>
    <row r="17" customFormat="false" ht="15" hidden="false" customHeight="false" outlineLevel="0" collapsed="false">
      <c r="A17" s="7" t="s">
        <v>33</v>
      </c>
      <c r="B17" s="9" t="n">
        <f aca="false">SUM(D5:D10)</f>
        <v>190000</v>
      </c>
      <c r="C17" s="9" t="n">
        <f aca="false">SUMIFS('Buy plan'!$H$5:$H$33,'Buy plan'!$B$5:$B$33,"Dresses")</f>
        <v>190000</v>
      </c>
      <c r="D17" s="12" t="n">
        <f aca="false">B17-C17</f>
        <v>0</v>
      </c>
      <c r="E17" s="35" t="str">
        <f aca="false">IF(ABS(D17)&gt;Assumptions!$C$10,"OUT","tied")</f>
        <v>tied</v>
      </c>
    </row>
    <row r="18" customFormat="false" ht="15" hidden="false" customHeight="false" outlineLevel="0" collapsed="false">
      <c r="A18" s="15" t="s">
        <v>39</v>
      </c>
      <c r="B18" s="17" t="n">
        <f aca="false">SUM(E5:E10)</f>
        <v>279500</v>
      </c>
      <c r="C18" s="17" t="n">
        <f aca="false">SUMIFS('Buy plan'!$H$5:$H$33,'Buy plan'!$B$5:$B$33,"Denim")</f>
        <v>237500</v>
      </c>
      <c r="D18" s="20" t="n">
        <f aca="false">B18-C18</f>
        <v>42000</v>
      </c>
      <c r="E18" s="37" t="str">
        <f aca="false">IF(ABS(D18)&gt;Assumptions!$C$10,"OUT","tied")</f>
        <v>OUT</v>
      </c>
    </row>
    <row r="19" customFormat="false" ht="15" hidden="false" customHeight="false" outlineLevel="0" collapsed="false">
      <c r="A19" s="7" t="s">
        <v>45</v>
      </c>
      <c r="B19" s="9" t="n">
        <f aca="false">SUM(F5:F10)</f>
        <v>191000</v>
      </c>
      <c r="C19" s="9" t="n">
        <f aca="false">SUMIFS('Buy plan'!$H$5:$H$33,'Buy plan'!$B$5:$B$33,"Accessories")</f>
        <v>191000</v>
      </c>
      <c r="D19" s="12" t="n">
        <f aca="false">B19-C19</f>
        <v>0</v>
      </c>
      <c r="E19" s="35" t="str">
        <f aca="false">IF(ABS(D19)&gt;Assumptions!$C$10,"OUT","tied")</f>
        <v>tied</v>
      </c>
    </row>
  </sheetData>
  <mergeCells count="3">
    <mergeCell ref="A1:G1"/>
    <mergeCell ref="A2:G2"/>
    <mergeCell ref="A13:G13"/>
  </mergeCells>
  <conditionalFormatting sqref="E15:E19">
    <cfRule type="cellIs" priority="2" operator="equal" aboveAverage="0" equalAverage="0" bottom="0" percent="0" rank="0" text="" dxfId="7">
      <formula>"OUT"</formula>
    </cfRule>
    <cfRule type="cellIs" priority="3" operator="equal" aboveAverage="0" equalAverage="0" bottom="0" percent="0" rank="0" text="" dxfId="8">
      <formula>"tied"</formula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"/>
    <col collapsed="false" customWidth="true" hidden="false" outlineLevel="0" max="3" min="3" style="0" width="14"/>
    <col collapsed="false" customWidth="true" hidden="false" outlineLevel="0" max="4" min="4" style="0" width="60"/>
  </cols>
  <sheetData>
    <row r="1" customFormat="false" ht="30" hidden="false" customHeight="true" outlineLevel="0" collapsed="false">
      <c r="A1" s="32" t="s">
        <v>69</v>
      </c>
      <c r="B1" s="32"/>
      <c r="C1" s="32"/>
      <c r="D1" s="32"/>
    </row>
    <row r="2" customFormat="false" ht="18" hidden="false" customHeight="true" outlineLevel="0" collapsed="false">
      <c r="A2" s="33" t="s">
        <v>70</v>
      </c>
      <c r="B2" s="33"/>
      <c r="C2" s="33"/>
      <c r="D2" s="33"/>
    </row>
    <row r="4" customFormat="false" ht="24" hidden="false" customHeight="true" outlineLevel="0" collapsed="false">
      <c r="A4" s="5" t="s">
        <v>71</v>
      </c>
      <c r="B4" s="41"/>
      <c r="C4" s="5" t="s">
        <v>72</v>
      </c>
      <c r="D4" s="5" t="s">
        <v>73</v>
      </c>
    </row>
    <row r="6" customFormat="false" ht="21.75" hidden="false" customHeight="true" outlineLevel="0" collapsed="false">
      <c r="A6" s="7" t="s">
        <v>74</v>
      </c>
      <c r="B6" s="42"/>
      <c r="C6" s="43" t="n">
        <v>1.17</v>
      </c>
      <c r="D6" s="44" t="s">
        <v>75</v>
      </c>
    </row>
    <row r="7" customFormat="false" ht="21.75" hidden="false" customHeight="true" outlineLevel="0" collapsed="false">
      <c r="A7" s="15" t="s">
        <v>76</v>
      </c>
      <c r="B7" s="45"/>
      <c r="C7" s="46" t="n">
        <v>0.7</v>
      </c>
      <c r="D7" s="47" t="s">
        <v>77</v>
      </c>
    </row>
    <row r="8" customFormat="false" ht="21.75" hidden="false" customHeight="true" outlineLevel="0" collapsed="false">
      <c r="A8" s="7" t="s">
        <v>78</v>
      </c>
      <c r="B8" s="42"/>
      <c r="C8" s="46" t="n">
        <v>0.15</v>
      </c>
      <c r="D8" s="44" t="s">
        <v>79</v>
      </c>
    </row>
    <row r="9" customFormat="false" ht="21.75" hidden="false" customHeight="true" outlineLevel="0" collapsed="false">
      <c r="A9" s="15" t="s">
        <v>80</v>
      </c>
      <c r="B9" s="45"/>
      <c r="C9" s="46" t="n">
        <v>0.08</v>
      </c>
      <c r="D9" s="47" t="s">
        <v>81</v>
      </c>
    </row>
    <row r="10" customFormat="false" ht="21.75" hidden="false" customHeight="true" outlineLevel="0" collapsed="false">
      <c r="A10" s="7" t="s">
        <v>82</v>
      </c>
      <c r="B10" s="42"/>
      <c r="C10" s="48" t="n">
        <v>5000</v>
      </c>
      <c r="D10" s="44" t="s">
        <v>83</v>
      </c>
    </row>
    <row r="11" customFormat="false" ht="21.75" hidden="false" customHeight="true" outlineLevel="0" collapsed="false">
      <c r="A11" s="15" t="s">
        <v>84</v>
      </c>
      <c r="B11" s="45"/>
      <c r="C11" s="46" t="n">
        <v>0.03</v>
      </c>
      <c r="D11" s="47" t="s">
        <v>85</v>
      </c>
    </row>
    <row r="13" customFormat="false" ht="15" hidden="false" customHeight="true" outlineLevel="0" collapsed="false">
      <c r="A13" s="49" t="s">
        <v>86</v>
      </c>
      <c r="B13" s="49"/>
      <c r="C13" s="49"/>
      <c r="D13" s="49"/>
    </row>
  </sheetData>
  <mergeCells count="3">
    <mergeCell ref="A1:D1"/>
    <mergeCell ref="A2:D2"/>
    <mergeCell ref="A13:D13"/>
  </mergeCell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2" min="1" style="0" width="16"/>
    <col collapsed="false" customWidth="true" hidden="false" outlineLevel="0" max="5" min="3" style="0" width="14"/>
    <col collapsed="false" customWidth="true" hidden="false" outlineLevel="0" max="6" min="6" style="0" width="12"/>
    <col collapsed="false" customWidth="true" hidden="false" outlineLevel="0" max="7" min="7" style="0" width="16"/>
  </cols>
  <sheetData>
    <row r="1" customFormat="false" ht="30" hidden="false" customHeight="true" outlineLevel="0" collapsed="false">
      <c r="A1" s="32" t="s">
        <v>87</v>
      </c>
      <c r="B1" s="32"/>
      <c r="C1" s="32"/>
      <c r="D1" s="32"/>
      <c r="E1" s="32"/>
      <c r="F1" s="32"/>
    </row>
    <row r="2" customFormat="false" ht="18" hidden="false" customHeight="true" outlineLevel="0" collapsed="false">
      <c r="A2" s="33" t="s">
        <v>88</v>
      </c>
      <c r="B2" s="33"/>
      <c r="C2" s="33"/>
      <c r="D2" s="33"/>
      <c r="E2" s="33"/>
      <c r="F2" s="33"/>
    </row>
    <row r="4" customFormat="false" ht="27.75" hidden="false" customHeight="true" outlineLevel="0" collapsed="false">
      <c r="A4" s="5" t="s">
        <v>4</v>
      </c>
      <c r="B4" s="5" t="s">
        <v>10</v>
      </c>
      <c r="C4" s="5" t="s">
        <v>89</v>
      </c>
      <c r="D4" s="5" t="s">
        <v>90</v>
      </c>
      <c r="E4" s="5" t="s">
        <v>91</v>
      </c>
      <c r="F4" s="5" t="s">
        <v>92</v>
      </c>
    </row>
    <row r="5" customFormat="false" ht="15" hidden="false" customHeight="false" outlineLevel="0" collapsed="false">
      <c r="A5" s="7" t="s">
        <v>18</v>
      </c>
      <c r="B5" s="12" t="n">
        <f aca="false">SUMIFS('Buy plan'!$H$5:$H$33,'Buy plan'!$B$5:$B$33,"Outerwear")</f>
        <v>407800</v>
      </c>
      <c r="C5" s="13" t="n">
        <f aca="false">IFERROR(B5/$B$10,0)</f>
        <v>0.289754156600824</v>
      </c>
      <c r="D5" s="50" t="n">
        <v>0.32</v>
      </c>
      <c r="E5" s="51" t="n">
        <f aca="false">C5-D5</f>
        <v>-0.0302458433991758</v>
      </c>
      <c r="F5" s="35" t="str">
        <f aca="false">IF(ABS(E5)&gt;Assumptions!$C$11,"BREACH","ok")</f>
        <v>BREACH</v>
      </c>
    </row>
    <row r="6" customFormat="false" ht="15" hidden="false" customHeight="false" outlineLevel="0" collapsed="false">
      <c r="A6" s="15" t="s">
        <v>25</v>
      </c>
      <c r="B6" s="20" t="n">
        <f aca="false">SUMIFS('Buy plan'!$H$5:$H$33,'Buy plan'!$B$5:$B$33,"Knitwear")</f>
        <v>381100</v>
      </c>
      <c r="C6" s="21" t="n">
        <f aca="false">IFERROR(B6/$B$10,0)</f>
        <v>0.270783004121074</v>
      </c>
      <c r="D6" s="50" t="n">
        <v>0.27</v>
      </c>
      <c r="E6" s="52" t="n">
        <f aca="false">C6-D6</f>
        <v>0.000783004121074293</v>
      </c>
      <c r="F6" s="37" t="str">
        <f aca="false">IF(ABS(E6)&gt;Assumptions!$C$11,"BREACH","ok")</f>
        <v>ok</v>
      </c>
    </row>
    <row r="7" customFormat="false" ht="15" hidden="false" customHeight="false" outlineLevel="0" collapsed="false">
      <c r="A7" s="7" t="s">
        <v>33</v>
      </c>
      <c r="B7" s="12" t="n">
        <f aca="false">SUMIFS('Buy plan'!$H$5:$H$33,'Buy plan'!$B$5:$B$33,"Dresses")</f>
        <v>190000</v>
      </c>
      <c r="C7" s="13" t="n">
        <f aca="false">IFERROR(B7/$B$10,0)</f>
        <v>0.135000710530055</v>
      </c>
      <c r="D7" s="50" t="n">
        <v>0.14</v>
      </c>
      <c r="E7" s="51" t="n">
        <f aca="false">C7-D7</f>
        <v>-0.0049992894699446</v>
      </c>
      <c r="F7" s="35" t="str">
        <f aca="false">IF(ABS(E7)&gt;Assumptions!$C$11,"BREACH","ok")</f>
        <v>ok</v>
      </c>
    </row>
    <row r="8" customFormat="false" ht="15" hidden="false" customHeight="false" outlineLevel="0" collapsed="false">
      <c r="A8" s="15" t="s">
        <v>39</v>
      </c>
      <c r="B8" s="20" t="n">
        <f aca="false">SUMIFS('Buy plan'!$H$5:$H$33,'Buy plan'!$B$5:$B$33,"Denim")</f>
        <v>237500</v>
      </c>
      <c r="C8" s="21" t="n">
        <f aca="false">IFERROR(B8/$B$10,0)</f>
        <v>0.168750888162569</v>
      </c>
      <c r="D8" s="50" t="n">
        <v>0.13</v>
      </c>
      <c r="E8" s="52" t="n">
        <f aca="false">C8-D8</f>
        <v>0.0387508881625693</v>
      </c>
      <c r="F8" s="37" t="str">
        <f aca="false">IF(ABS(E8)&gt;Assumptions!$C$11,"BREACH","ok")</f>
        <v>BREACH</v>
      </c>
    </row>
    <row r="9" customFormat="false" ht="15" hidden="false" customHeight="false" outlineLevel="0" collapsed="false">
      <c r="A9" s="7" t="s">
        <v>45</v>
      </c>
      <c r="B9" s="12" t="n">
        <f aca="false">SUMIFS('Buy plan'!$H$5:$H$33,'Buy plan'!$B$5:$B$33,"Accessories")</f>
        <v>191000</v>
      </c>
      <c r="C9" s="13" t="n">
        <f aca="false">IFERROR(B9/$B$10,0)</f>
        <v>0.135711240585477</v>
      </c>
      <c r="D9" s="50" t="n">
        <v>0.14</v>
      </c>
      <c r="E9" s="51" t="n">
        <f aca="false">C9-D9</f>
        <v>-0.00428875941452325</v>
      </c>
      <c r="F9" s="35" t="str">
        <f aca="false">IF(ABS(E9)&gt;Assumptions!$C$11,"BREACH","ok")</f>
        <v>ok</v>
      </c>
    </row>
    <row r="10" customFormat="false" ht="19.5" hidden="false" customHeight="true" outlineLevel="0" collapsed="false">
      <c r="A10" s="28" t="s">
        <v>93</v>
      </c>
      <c r="B10" s="31" t="n">
        <f aca="false">SUM(B5:B9)</f>
        <v>1407400</v>
      </c>
      <c r="C10" s="29" t="n">
        <f aca="false">SUM(C5:C9)</f>
        <v>1</v>
      </c>
      <c r="D10" s="29" t="n">
        <f aca="false">SUM(D5:D9)</f>
        <v>1</v>
      </c>
      <c r="E10" s="29" t="n">
        <f aca="false">C10-D10</f>
        <v>0</v>
      </c>
      <c r="F10" s="27"/>
    </row>
    <row r="12" customFormat="false" ht="19.5" hidden="false" customHeight="true" outlineLevel="0" collapsed="false">
      <c r="A12" s="40" t="s">
        <v>94</v>
      </c>
      <c r="B12" s="40"/>
      <c r="C12" s="40"/>
      <c r="D12" s="40"/>
      <c r="E12" s="40"/>
      <c r="F12" s="40"/>
    </row>
    <row r="13" customFormat="false" ht="23.85" hidden="false" customHeight="false" outlineLevel="0" collapsed="false">
      <c r="A13" s="7" t="s">
        <v>95</v>
      </c>
      <c r="B13" s="13" t="n">
        <f aca="false">IFERROR(1-SUMPRODUCT('Buy plan'!$D$5:$D$33,'Buy plan'!$G$5:$G$33)/SUMPRODUCT('Buy plan'!$E$5:$E$33,'Buy plan'!$G$5:$G$33),0)</f>
        <v>0.707477266822551</v>
      </c>
      <c r="C13" s="15" t="s">
        <v>76</v>
      </c>
      <c r="D13" s="52" t="n">
        <f aca="false">Assumptions!$C$7</f>
        <v>0.7</v>
      </c>
      <c r="E13" s="7" t="s">
        <v>96</v>
      </c>
      <c r="F13" s="51" t="n">
        <f aca="false">B13-D13</f>
        <v>0.00747726682255134</v>
      </c>
    </row>
  </sheetData>
  <mergeCells count="3">
    <mergeCell ref="A1:F1"/>
    <mergeCell ref="A2:F2"/>
    <mergeCell ref="A12:F12"/>
  </mergeCells>
  <conditionalFormatting sqref="F5:F9">
    <cfRule type="cellIs" priority="2" operator="equal" aboveAverage="0" equalAverage="0" bottom="0" percent="0" rank="0" text="" dxfId="7">
      <formula>"BREACH"</formula>
    </cfRule>
    <cfRule type="cellIs" priority="3" operator="equal" aboveAverage="0" equalAverage="0" bottom="0" percent="0" rank="0" text="" dxfId="8">
      <formula>"ok"</formula>
    </cfRule>
  </conditionalFormatting>
  <conditionalFormatting sqref="C5:C9">
    <cfRule type="dataBar" priority="4">
      <dataBar showValue="1" minLength="10" maxLength="90">
        <cfvo type="num" val="0"/>
        <cfvo type="max" val="0"/>
        <color rgb="FF2547D0"/>
      </dataBar>
      <extLst>
        <ext xmlns:x14="http://schemas.microsoft.com/office/spreadsheetml/2009/9/main" uri="{B025F937-C7B1-47D3-B67F-A62EFF666E3E}">
          <x14:id>{CDB210D4-A0DC-49AB-AF8F-CD8BD4699EC8}</x14:id>
        </ext>
      </extLst>
    </cfRule>
  </conditionalFormatting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B210D4-A0DC-49AB-AF8F-CD8BD4699EC8}">
            <x14:dataBar minLength="10" maxLength="90" axisPosition="none" gradient="true">
              <x14:cfvo type="num">
                <xm:f>0</xm:f>
              </x14:cfvo>
              <x14:cfvo type="max"/>
              <x14:negativeFillColor rgb="FF2547D0"/>
              <x14:axisColor rgb="FF000000"/>
            </x14:dataBar>
          </x14:cfRule>
          <xm:sqref>C5:C9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2026-07-15T09:05:55Z</dcterms:created>
  <dc:creator>openpyxl</dc:creator>
  <dc:description/>
  <dc:language>en-US</dc:language>
  <cp:lastModifiedBy/>
  <dcterms:modified xsi:type="dcterms:W3CDTF">2026-07-15T09:05:55Z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